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fernandanino/Desktop/"/>
    </mc:Choice>
  </mc:AlternateContent>
  <xr:revisionPtr revIDLastSave="0" documentId="13_ncr:1_{0EB8F126-68DA-1149-AD38-A217D680BBA5}" xr6:coauthVersionLast="47" xr6:coauthVersionMax="47" xr10:uidLastSave="{00000000-0000-0000-0000-000000000000}"/>
  <bookViews>
    <workbookView xWindow="0" yWindow="500" windowWidth="28800" windowHeight="16320" firstSheet="7" activeTab="10" xr2:uid="{24AFB078-2EF6-40AB-B66E-5CC39C1910AD}"/>
  </bookViews>
  <sheets>
    <sheet name="Lista de precios insumos" sheetId="2" r:id="rId1"/>
    <sheet name="Proyecciones (Ventas y MP)" sheetId="1" r:id="rId2"/>
    <sheet name="Mano de obra" sheetId="3" r:id="rId3"/>
    <sheet name="Inversiones iniciales" sheetId="4" r:id="rId4"/>
    <sheet name="Otros gastos y costos" sheetId="5" r:id="rId5"/>
    <sheet name="Depreciaciones, GA, GV, CIFs" sheetId="6" r:id="rId6"/>
    <sheet name="Préstamo" sheetId="7" r:id="rId7"/>
    <sheet name="Estados de resultados" sheetId="8" r:id="rId8"/>
    <sheet name="Flujo de caja" sheetId="9" r:id="rId9"/>
    <sheet name="Balance general" sheetId="10" r:id="rId10"/>
    <sheet name="Indicadores financieros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2" i="1" l="1"/>
  <c r="C26" i="1"/>
  <c r="M92" i="1"/>
  <c r="I92" i="1"/>
  <c r="H92" i="1"/>
  <c r="D92" i="1"/>
  <c r="C92" i="1"/>
  <c r="C66" i="1"/>
  <c r="M66" i="1"/>
  <c r="M26" i="1"/>
  <c r="L66" i="1"/>
  <c r="H26" i="1"/>
  <c r="H66" i="1"/>
  <c r="J66" i="1"/>
  <c r="I66" i="1"/>
  <c r="G66" i="1"/>
  <c r="F66" i="1"/>
  <c r="E66" i="1"/>
  <c r="D66" i="1"/>
  <c r="L26" i="1"/>
  <c r="J26" i="1"/>
  <c r="I26" i="1"/>
  <c r="G26" i="1"/>
  <c r="F26" i="1"/>
  <c r="G92" i="1"/>
  <c r="N92" i="1"/>
  <c r="N66" i="1"/>
  <c r="K92" i="1"/>
  <c r="K66" i="1"/>
  <c r="P100" i="6"/>
  <c r="O100" i="6"/>
  <c r="N100" i="6"/>
  <c r="M100" i="6"/>
  <c r="L100" i="6"/>
  <c r="K100" i="6"/>
  <c r="J100" i="6"/>
  <c r="I100" i="6"/>
  <c r="H100" i="6"/>
  <c r="G100" i="6"/>
  <c r="F100" i="6"/>
  <c r="E100" i="6"/>
  <c r="E80" i="6"/>
  <c r="P71" i="6"/>
  <c r="O71" i="6"/>
  <c r="N71" i="6"/>
  <c r="M71" i="6"/>
  <c r="L71" i="6"/>
  <c r="K71" i="6"/>
  <c r="J71" i="6"/>
  <c r="I71" i="6"/>
  <c r="H71" i="6"/>
  <c r="G71" i="6"/>
  <c r="F71" i="6"/>
  <c r="E71" i="6"/>
  <c r="C6" i="5"/>
  <c r="C4" i="5"/>
  <c r="C5" i="5"/>
  <c r="C47" i="5"/>
  <c r="C23" i="5"/>
  <c r="C34" i="5"/>
  <c r="C46" i="5"/>
  <c r="D46" i="5" s="1"/>
  <c r="C33" i="5"/>
  <c r="C22" i="5"/>
  <c r="B8" i="11"/>
  <c r="B7" i="11"/>
  <c r="B4" i="11"/>
  <c r="B12" i="11"/>
  <c r="B6" i="11"/>
  <c r="B5" i="11"/>
  <c r="N26" i="1"/>
  <c r="E26" i="1"/>
  <c r="D26" i="1"/>
  <c r="J92" i="1"/>
  <c r="F92" i="1"/>
  <c r="E92" i="1"/>
  <c r="C11" i="5"/>
  <c r="D53" i="4"/>
  <c r="D35" i="4"/>
  <c r="D32" i="4"/>
  <c r="D22" i="4"/>
  <c r="D20" i="4"/>
  <c r="M62" i="1"/>
  <c r="B24" i="10"/>
  <c r="C31" i="1"/>
  <c r="D70" i="4"/>
  <c r="E22" i="1"/>
  <c r="C30" i="5"/>
  <c r="C16" i="5"/>
  <c r="C55" i="5"/>
  <c r="C32" i="5"/>
  <c r="D33" i="5" l="1"/>
  <c r="D32" i="5"/>
  <c r="D31" i="5"/>
  <c r="D27" i="5"/>
  <c r="D31" i="1" l="1"/>
  <c r="B26" i="9"/>
  <c r="C4" i="8"/>
  <c r="D51" i="5"/>
  <c r="E24" i="3"/>
  <c r="F24" i="3"/>
  <c r="C71" i="1" l="1"/>
  <c r="M22" i="1"/>
  <c r="M21" i="1"/>
  <c r="N18" i="2"/>
  <c r="L18" i="2"/>
  <c r="C26" i="9"/>
  <c r="C38" i="5" l="1"/>
  <c r="G7" i="3" l="1"/>
  <c r="F7" i="3"/>
  <c r="E52" i="6"/>
  <c r="D34" i="4"/>
  <c r="D39" i="4" s="1"/>
  <c r="L92" i="1"/>
  <c r="M61" i="1"/>
  <c r="H87" i="1"/>
  <c r="H88" i="1" s="1"/>
  <c r="K26" i="1"/>
  <c r="B10" i="11"/>
  <c r="O26" i="1" l="1"/>
  <c r="C36" i="1" s="1"/>
  <c r="F11" i="11"/>
  <c r="J52" i="1"/>
  <c r="C34" i="10"/>
  <c r="D60" i="4"/>
  <c r="D24" i="4"/>
  <c r="D36" i="1" l="1"/>
  <c r="E36" i="1" s="1"/>
  <c r="F36" i="1" s="1"/>
  <c r="G36" i="1" s="1"/>
  <c r="C40" i="5"/>
  <c r="C41" i="5"/>
  <c r="C39" i="5"/>
  <c r="G41" i="5" l="1"/>
  <c r="C47" i="6" s="1"/>
  <c r="G40" i="5"/>
  <c r="D47" i="6" s="1"/>
  <c r="D28" i="5"/>
  <c r="D44" i="5"/>
  <c r="E47" i="6" l="1"/>
  <c r="E49" i="6" s="1"/>
  <c r="F47" i="6"/>
  <c r="F49" i="6" s="1"/>
  <c r="J47" i="6"/>
  <c r="J49" i="6" s="1"/>
  <c r="N47" i="6"/>
  <c r="N49" i="6" s="1"/>
  <c r="H47" i="6"/>
  <c r="H49" i="6" s="1"/>
  <c r="M47" i="6"/>
  <c r="M49" i="6" s="1"/>
  <c r="O47" i="6"/>
  <c r="O49" i="6" s="1"/>
  <c r="G47" i="6"/>
  <c r="G49" i="6" s="1"/>
  <c r="L47" i="6"/>
  <c r="L49" i="6" s="1"/>
  <c r="I47" i="6"/>
  <c r="I49" i="6" s="1"/>
  <c r="K47" i="6"/>
  <c r="K49" i="6" s="1"/>
  <c r="P47" i="6"/>
  <c r="P49" i="6" s="1"/>
  <c r="D45" i="5"/>
  <c r="D38" i="5"/>
  <c r="D40" i="5"/>
  <c r="D39" i="5"/>
  <c r="D41" i="5"/>
  <c r="D43" i="5"/>
  <c r="D47" i="5" l="1"/>
  <c r="E56" i="1"/>
  <c r="J58" i="1" s="1"/>
  <c r="H17" i="1"/>
  <c r="C15" i="1"/>
  <c r="E15" i="1" s="1"/>
  <c r="J17" i="1" s="1"/>
  <c r="L19" i="2"/>
  <c r="N20" i="2"/>
  <c r="E55" i="1" l="1"/>
  <c r="J57" i="1"/>
  <c r="E13" i="3" l="1"/>
  <c r="E18" i="3"/>
  <c r="D24" i="3"/>
  <c r="D18" i="3"/>
  <c r="D13" i="3"/>
  <c r="D57" i="4"/>
  <c r="D62" i="4"/>
  <c r="D61" i="4"/>
  <c r="D59" i="4"/>
  <c r="D55" i="4"/>
  <c r="D54" i="4"/>
  <c r="D50" i="4"/>
  <c r="D49" i="4"/>
  <c r="E29" i="3"/>
  <c r="F29" i="3" s="1"/>
  <c r="E30" i="3"/>
  <c r="F30" i="3" s="1"/>
  <c r="E19" i="3"/>
  <c r="E20" i="3"/>
  <c r="E15" i="3"/>
  <c r="E14" i="3"/>
  <c r="D30" i="3"/>
  <c r="D20" i="3"/>
  <c r="D19" i="3"/>
  <c r="D15" i="3"/>
  <c r="D14" i="3"/>
  <c r="C16" i="1"/>
  <c r="E16" i="1" s="1"/>
  <c r="J18" i="1" s="1"/>
  <c r="G97" i="6" l="1"/>
  <c r="K97" i="6"/>
  <c r="O97" i="6"/>
  <c r="I97" i="6"/>
  <c r="E97" i="6"/>
  <c r="F97" i="6"/>
  <c r="N97" i="6"/>
  <c r="H97" i="6"/>
  <c r="L97" i="6"/>
  <c r="P97" i="6"/>
  <c r="M97" i="6"/>
  <c r="J97" i="6"/>
  <c r="I52" i="6"/>
  <c r="L52" i="6"/>
  <c r="G52" i="6"/>
  <c r="H52" i="6"/>
  <c r="F52" i="6"/>
  <c r="O52" i="6"/>
  <c r="N52" i="6"/>
  <c r="M52" i="6"/>
  <c r="K52" i="6"/>
  <c r="J52" i="6"/>
  <c r="P52" i="6"/>
  <c r="F75" i="6"/>
  <c r="J75" i="6"/>
  <c r="N75" i="6"/>
  <c r="H75" i="6"/>
  <c r="P75" i="6"/>
  <c r="M75" i="6"/>
  <c r="E75" i="6"/>
  <c r="G75" i="6"/>
  <c r="K75" i="6"/>
  <c r="O75" i="6"/>
  <c r="L75" i="6"/>
  <c r="I75" i="6"/>
  <c r="I74" i="6"/>
  <c r="M74" i="6"/>
  <c r="E74" i="6"/>
  <c r="K74" i="6"/>
  <c r="H74" i="6"/>
  <c r="P74" i="6"/>
  <c r="F74" i="6"/>
  <c r="J74" i="6"/>
  <c r="N74" i="6"/>
  <c r="G74" i="6"/>
  <c r="O74" i="6"/>
  <c r="L74" i="6"/>
  <c r="I95" i="6"/>
  <c r="M95" i="6"/>
  <c r="E95" i="6"/>
  <c r="G95" i="6"/>
  <c r="O95" i="6"/>
  <c r="L95" i="6"/>
  <c r="F95" i="6"/>
  <c r="J95" i="6"/>
  <c r="N95" i="6"/>
  <c r="K95" i="6"/>
  <c r="H95" i="6"/>
  <c r="P95" i="6"/>
  <c r="F96" i="6"/>
  <c r="J96" i="6"/>
  <c r="N96" i="6"/>
  <c r="L96" i="6"/>
  <c r="I96" i="6"/>
  <c r="G96" i="6"/>
  <c r="K96" i="6"/>
  <c r="O96" i="6"/>
  <c r="H96" i="6"/>
  <c r="P96" i="6"/>
  <c r="M96" i="6"/>
  <c r="E96" i="6"/>
  <c r="G76" i="6"/>
  <c r="K76" i="6"/>
  <c r="O76" i="6"/>
  <c r="M76" i="6"/>
  <c r="J76" i="6"/>
  <c r="H76" i="6"/>
  <c r="L76" i="6"/>
  <c r="P76" i="6"/>
  <c r="I76" i="6"/>
  <c r="E76" i="6"/>
  <c r="F76" i="6"/>
  <c r="N76" i="6"/>
  <c r="F31" i="3"/>
  <c r="E77" i="6" l="1"/>
  <c r="J12" i="1"/>
  <c r="I10" i="2"/>
  <c r="E54" i="1" l="1"/>
  <c r="E53" i="1"/>
  <c r="E52" i="1"/>
  <c r="E51" i="1"/>
  <c r="E50" i="1"/>
  <c r="E49" i="1"/>
  <c r="E48" i="1"/>
  <c r="J13" i="1"/>
  <c r="H53" i="1"/>
  <c r="G25" i="10" l="1"/>
  <c r="G27" i="9"/>
  <c r="F27" i="9"/>
  <c r="E27" i="9"/>
  <c r="D27" i="9"/>
  <c r="G22" i="9"/>
  <c r="F22" i="9"/>
  <c r="E22" i="9"/>
  <c r="D22" i="9"/>
  <c r="I13" i="7" l="1"/>
  <c r="I14" i="7" s="1"/>
  <c r="I15" i="7" s="1"/>
  <c r="I16" i="7" s="1"/>
  <c r="J56" i="1"/>
  <c r="J54" i="1"/>
  <c r="J53" i="1"/>
  <c r="J48" i="1"/>
  <c r="E14" i="1"/>
  <c r="E13" i="1"/>
  <c r="E12" i="1"/>
  <c r="E11" i="1"/>
  <c r="E10" i="1"/>
  <c r="E9" i="1"/>
  <c r="E8" i="1"/>
  <c r="J16" i="1"/>
  <c r="J14" i="1"/>
  <c r="J10" i="1"/>
  <c r="J8" i="1"/>
  <c r="H10" i="1"/>
  <c r="H50" i="1" s="1"/>
  <c r="J50" i="1" s="1"/>
  <c r="H9" i="1"/>
  <c r="H15" i="1"/>
  <c r="H55" i="1" s="1"/>
  <c r="J55" i="1" s="1"/>
  <c r="H11" i="1"/>
  <c r="I6" i="2"/>
  <c r="I8" i="2"/>
  <c r="I11" i="2"/>
  <c r="I12" i="2"/>
  <c r="I13" i="2"/>
  <c r="I15" i="2"/>
  <c r="I16" i="2"/>
  <c r="I4" i="2"/>
  <c r="B22" i="6"/>
  <c r="D29" i="3"/>
  <c r="D45" i="4"/>
  <c r="I45" i="4"/>
  <c r="D47" i="4"/>
  <c r="D15" i="4"/>
  <c r="E12" i="4" s="1"/>
  <c r="E37" i="4"/>
  <c r="I46" i="4"/>
  <c r="I27" i="4"/>
  <c r="D19" i="4"/>
  <c r="I44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36" i="4"/>
  <c r="I37" i="4"/>
  <c r="I38" i="4"/>
  <c r="I24" i="4"/>
  <c r="I25" i="4"/>
  <c r="I26" i="4"/>
  <c r="D63" i="4" l="1"/>
  <c r="E33" i="4"/>
  <c r="J11" i="1"/>
  <c r="H51" i="1"/>
  <c r="J51" i="1" s="1"/>
  <c r="J9" i="1"/>
  <c r="H49" i="1"/>
  <c r="J49" i="1" s="1"/>
  <c r="J15" i="1"/>
  <c r="E38" i="4"/>
  <c r="E34" i="4"/>
  <c r="E32" i="4"/>
  <c r="E36" i="4"/>
  <c r="E35" i="4"/>
  <c r="E57" i="1"/>
  <c r="E17" i="1"/>
  <c r="D28" i="4"/>
  <c r="J19" i="1" l="1"/>
  <c r="J22" i="1" s="1"/>
  <c r="C27" i="1" s="1"/>
  <c r="E51" i="4"/>
  <c r="E43" i="4"/>
  <c r="E58" i="4"/>
  <c r="E44" i="4"/>
  <c r="E48" i="4"/>
  <c r="E52" i="4"/>
  <c r="E56" i="4"/>
  <c r="E53" i="4"/>
  <c r="E46" i="4"/>
  <c r="E60" i="4"/>
  <c r="E49" i="4"/>
  <c r="E57" i="4"/>
  <c r="E61" i="4"/>
  <c r="E50" i="4"/>
  <c r="E59" i="4"/>
  <c r="E62" i="4"/>
  <c r="E54" i="4"/>
  <c r="E55" i="4"/>
  <c r="E47" i="4"/>
  <c r="E45" i="4"/>
  <c r="J59" i="1"/>
  <c r="G6" i="4"/>
  <c r="D85" i="6" s="1"/>
  <c r="E62" i="1"/>
  <c r="F6" i="4"/>
  <c r="D61" i="6" s="1"/>
  <c r="E39" i="4"/>
  <c r="H6" i="4"/>
  <c r="D36" i="6" s="1"/>
  <c r="C67" i="1" l="1"/>
  <c r="E86" i="1"/>
  <c r="C32" i="1"/>
  <c r="D71" i="1"/>
  <c r="E31" i="1"/>
  <c r="F31" i="1" s="1"/>
  <c r="G31" i="1" s="1"/>
  <c r="E63" i="4"/>
  <c r="D67" i="1"/>
  <c r="C72" i="1"/>
  <c r="D27" i="1"/>
  <c r="E27" i="1"/>
  <c r="E67" i="1"/>
  <c r="I67" i="1"/>
  <c r="M67" i="1"/>
  <c r="J67" i="1"/>
  <c r="F67" i="1"/>
  <c r="N67" i="1"/>
  <c r="G67" i="1"/>
  <c r="K67" i="1"/>
  <c r="H67" i="1"/>
  <c r="L67" i="1"/>
  <c r="J27" i="1"/>
  <c r="G27" i="1"/>
  <c r="L27" i="1"/>
  <c r="H27" i="1"/>
  <c r="E88" i="1"/>
  <c r="M27" i="1"/>
  <c r="I27" i="1"/>
  <c r="N27" i="1"/>
  <c r="F27" i="1"/>
  <c r="K27" i="1"/>
  <c r="C13" i="7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C54" i="7" s="1"/>
  <c r="C55" i="7" s="1"/>
  <c r="C56" i="7" s="1"/>
  <c r="C57" i="7" s="1"/>
  <c r="C58" i="7" s="1"/>
  <c r="C59" i="7" s="1"/>
  <c r="C60" i="7" s="1"/>
  <c r="C61" i="7" s="1"/>
  <c r="C62" i="7" s="1"/>
  <c r="C63" i="7" s="1"/>
  <c r="C64" i="7" s="1"/>
  <c r="C65" i="7" s="1"/>
  <c r="C66" i="7" s="1"/>
  <c r="C67" i="7" s="1"/>
  <c r="C68" i="7" s="1"/>
  <c r="C69" i="7" s="1"/>
  <c r="C70" i="7" s="1"/>
  <c r="C71" i="7" s="1"/>
  <c r="G11" i="7"/>
  <c r="E12" i="7" s="1"/>
  <c r="D77" i="4" s="1"/>
  <c r="F6" i="7"/>
  <c r="D12" i="7" s="1"/>
  <c r="P98" i="6"/>
  <c r="O98" i="6"/>
  <c r="N98" i="6"/>
  <c r="M98" i="6"/>
  <c r="L98" i="6"/>
  <c r="K98" i="6"/>
  <c r="J98" i="6"/>
  <c r="I98" i="6"/>
  <c r="H98" i="6"/>
  <c r="G98" i="6"/>
  <c r="F98" i="6"/>
  <c r="E98" i="6"/>
  <c r="P77" i="6"/>
  <c r="O77" i="6"/>
  <c r="N77" i="6"/>
  <c r="M77" i="6"/>
  <c r="L77" i="6"/>
  <c r="K77" i="6"/>
  <c r="J77" i="6"/>
  <c r="I77" i="6"/>
  <c r="H77" i="6"/>
  <c r="G77" i="6"/>
  <c r="F77" i="6"/>
  <c r="P53" i="6"/>
  <c r="L53" i="6"/>
  <c r="H53" i="6"/>
  <c r="O53" i="6"/>
  <c r="N53" i="6"/>
  <c r="M53" i="6"/>
  <c r="K53" i="6"/>
  <c r="J53" i="6"/>
  <c r="I53" i="6"/>
  <c r="G53" i="6"/>
  <c r="F53" i="6"/>
  <c r="E53" i="6"/>
  <c r="C28" i="6"/>
  <c r="B27" i="6"/>
  <c r="C23" i="6"/>
  <c r="B19" i="6"/>
  <c r="B24" i="6" s="1"/>
  <c r="B29" i="6" s="1"/>
  <c r="C18" i="6"/>
  <c r="B18" i="6"/>
  <c r="B23" i="6" s="1"/>
  <c r="B28" i="6" s="1"/>
  <c r="B17" i="6"/>
  <c r="C13" i="6"/>
  <c r="B12" i="6"/>
  <c r="C43" i="6"/>
  <c r="C97" i="1" l="1"/>
  <c r="D71" i="4"/>
  <c r="O27" i="1"/>
  <c r="D72" i="1"/>
  <c r="D32" i="1"/>
  <c r="D93" i="1"/>
  <c r="C98" i="1"/>
  <c r="E43" i="6"/>
  <c r="E44" i="6" s="1"/>
  <c r="C68" i="6"/>
  <c r="E71" i="1"/>
  <c r="H93" i="1"/>
  <c r="L93" i="1"/>
  <c r="E93" i="1"/>
  <c r="I93" i="1"/>
  <c r="M93" i="1"/>
  <c r="F93" i="1"/>
  <c r="J93" i="1"/>
  <c r="N93" i="1"/>
  <c r="G93" i="1"/>
  <c r="K93" i="1"/>
  <c r="C93" i="1"/>
  <c r="D52" i="5"/>
  <c r="D53" i="5"/>
  <c r="D54" i="5"/>
  <c r="D29" i="5"/>
  <c r="D30" i="5"/>
  <c r="D13" i="7"/>
  <c r="F12" i="7"/>
  <c r="D34" i="5" l="1"/>
  <c r="D55" i="5"/>
  <c r="F43" i="6"/>
  <c r="G43" i="6" s="1"/>
  <c r="H43" i="6" s="1"/>
  <c r="E72" i="1"/>
  <c r="E32" i="1"/>
  <c r="D98" i="1"/>
  <c r="D97" i="1"/>
  <c r="E68" i="6"/>
  <c r="E69" i="6" s="1"/>
  <c r="C91" i="6"/>
  <c r="E91" i="6" s="1"/>
  <c r="F71" i="1"/>
  <c r="G71" i="1" s="1"/>
  <c r="O93" i="1"/>
  <c r="G12" i="7"/>
  <c r="D14" i="7"/>
  <c r="G44" i="6" l="1"/>
  <c r="F44" i="6"/>
  <c r="F32" i="1"/>
  <c r="G32" i="1" s="1"/>
  <c r="F72" i="1"/>
  <c r="E98" i="1"/>
  <c r="E97" i="1"/>
  <c r="F91" i="6"/>
  <c r="E92" i="6"/>
  <c r="F68" i="6"/>
  <c r="F69" i="6" s="1"/>
  <c r="D15" i="7"/>
  <c r="E13" i="7"/>
  <c r="H44" i="6"/>
  <c r="I43" i="6"/>
  <c r="G72" i="1" l="1"/>
  <c r="F97" i="1"/>
  <c r="F98" i="1"/>
  <c r="G68" i="6"/>
  <c r="F92" i="6"/>
  <c r="G91" i="6"/>
  <c r="F13" i="7"/>
  <c r="D16" i="7"/>
  <c r="J43" i="6"/>
  <c r="I44" i="6"/>
  <c r="G98" i="1" l="1"/>
  <c r="G97" i="1"/>
  <c r="H91" i="6"/>
  <c r="G92" i="6"/>
  <c r="H68" i="6"/>
  <c r="G69" i="6"/>
  <c r="D17" i="7"/>
  <c r="G13" i="7"/>
  <c r="K43" i="6"/>
  <c r="J44" i="6"/>
  <c r="I68" i="6" l="1"/>
  <c r="H69" i="6"/>
  <c r="H92" i="6"/>
  <c r="I91" i="6"/>
  <c r="E14" i="7"/>
  <c r="D18" i="7"/>
  <c r="L43" i="6"/>
  <c r="K44" i="6"/>
  <c r="I92" i="6" l="1"/>
  <c r="J91" i="6"/>
  <c r="I69" i="6"/>
  <c r="J68" i="6"/>
  <c r="D19" i="7"/>
  <c r="F14" i="7"/>
  <c r="L44" i="6"/>
  <c r="M43" i="6"/>
  <c r="J69" i="6" l="1"/>
  <c r="K68" i="6"/>
  <c r="K91" i="6"/>
  <c r="J92" i="6"/>
  <c r="G14" i="7"/>
  <c r="D20" i="7"/>
  <c r="N43" i="6"/>
  <c r="M44" i="6"/>
  <c r="K92" i="6" l="1"/>
  <c r="L91" i="6"/>
  <c r="L68" i="6"/>
  <c r="K69" i="6"/>
  <c r="D21" i="7"/>
  <c r="E15" i="7"/>
  <c r="O43" i="6"/>
  <c r="N44" i="6"/>
  <c r="M68" i="6" l="1"/>
  <c r="L69" i="6"/>
  <c r="M91" i="6"/>
  <c r="L92" i="6"/>
  <c r="F15" i="7"/>
  <c r="D22" i="7"/>
  <c r="P43" i="6"/>
  <c r="P44" i="6" s="1"/>
  <c r="O44" i="6"/>
  <c r="N91" i="6" l="1"/>
  <c r="M92" i="6"/>
  <c r="M69" i="6"/>
  <c r="N68" i="6"/>
  <c r="D23" i="7"/>
  <c r="J12" i="7" s="1"/>
  <c r="J13" i="7" s="1"/>
  <c r="J14" i="7" s="1"/>
  <c r="J15" i="7" s="1"/>
  <c r="J16" i="7" s="1"/>
  <c r="G15" i="7"/>
  <c r="O68" i="6" l="1"/>
  <c r="N69" i="6"/>
  <c r="N92" i="6"/>
  <c r="O91" i="6"/>
  <c r="E16" i="7"/>
  <c r="F16" i="7" s="1"/>
  <c r="G16" i="7" s="1"/>
  <c r="D24" i="7"/>
  <c r="P91" i="6" l="1"/>
  <c r="P92" i="6" s="1"/>
  <c r="O92" i="6"/>
  <c r="P68" i="6"/>
  <c r="P69" i="6" s="1"/>
  <c r="O69" i="6"/>
  <c r="D25" i="7"/>
  <c r="E17" i="7"/>
  <c r="F17" i="7" s="1"/>
  <c r="G17" i="7" s="1"/>
  <c r="E18" i="7" l="1"/>
  <c r="F18" i="7" s="1"/>
  <c r="G18" i="7" s="1"/>
  <c r="D26" i="7"/>
  <c r="E19" i="7" l="1"/>
  <c r="F19" i="7" s="1"/>
  <c r="G19" i="7" s="1"/>
  <c r="D27" i="7"/>
  <c r="D28" i="7" l="1"/>
  <c r="E20" i="7"/>
  <c r="F20" i="7" s="1"/>
  <c r="G20" i="7" s="1"/>
  <c r="E21" i="7" l="1"/>
  <c r="F21" i="7" s="1"/>
  <c r="G21" i="7" s="1"/>
  <c r="D29" i="7"/>
  <c r="J17" i="7"/>
  <c r="D30" i="7" l="1"/>
  <c r="E22" i="7"/>
  <c r="F22" i="7" s="1"/>
  <c r="G22" i="7" s="1"/>
  <c r="E23" i="7" l="1"/>
  <c r="D31" i="7"/>
  <c r="D32" i="7" l="1"/>
  <c r="K12" i="7"/>
  <c r="B10" i="8" s="1"/>
  <c r="F23" i="7"/>
  <c r="C30" i="9" l="1"/>
  <c r="L12" i="7"/>
  <c r="C29" i="9" s="1"/>
  <c r="G23" i="7"/>
  <c r="M12" i="7" s="1"/>
  <c r="C24" i="10" s="1"/>
  <c r="D33" i="7"/>
  <c r="B22" i="10" l="1"/>
  <c r="D34" i="7"/>
  <c r="E24" i="7"/>
  <c r="B25" i="10"/>
  <c r="B29" i="10" l="1"/>
  <c r="F24" i="7"/>
  <c r="G24" i="7" s="1"/>
  <c r="D35" i="7"/>
  <c r="D36" i="7" l="1"/>
  <c r="E25" i="7"/>
  <c r="D37" i="7" l="1"/>
  <c r="F25" i="7"/>
  <c r="G25" i="7" s="1"/>
  <c r="E26" i="7" l="1"/>
  <c r="D38" i="7"/>
  <c r="D39" i="7" l="1"/>
  <c r="F26" i="7"/>
  <c r="G26" i="7" s="1"/>
  <c r="D40" i="7" l="1"/>
  <c r="E27" i="7"/>
  <c r="F27" i="7" l="1"/>
  <c r="G27" i="7" s="1"/>
  <c r="D41" i="7"/>
  <c r="D42" i="7" l="1"/>
  <c r="E28" i="7"/>
  <c r="F28" i="7" l="1"/>
  <c r="G28" i="7" s="1"/>
  <c r="D43" i="7"/>
  <c r="D44" i="7" l="1"/>
  <c r="E29" i="7"/>
  <c r="F29" i="7" s="1"/>
  <c r="G29" i="7" s="1"/>
  <c r="E30" i="7" l="1"/>
  <c r="F30" i="7" s="1"/>
  <c r="G30" i="7" s="1"/>
  <c r="D45" i="7"/>
  <c r="E31" i="7" l="1"/>
  <c r="F31" i="7" s="1"/>
  <c r="G31" i="7" s="1"/>
  <c r="D46" i="7"/>
  <c r="E32" i="7" l="1"/>
  <c r="F32" i="7" s="1"/>
  <c r="G32" i="7" s="1"/>
  <c r="D47" i="7"/>
  <c r="E33" i="7" l="1"/>
  <c r="F33" i="7" s="1"/>
  <c r="G33" i="7" s="1"/>
  <c r="D48" i="7"/>
  <c r="D49" i="7" l="1"/>
  <c r="E34" i="7"/>
  <c r="F34" i="7" s="1"/>
  <c r="G34" i="7" s="1"/>
  <c r="E35" i="7" l="1"/>
  <c r="D50" i="7"/>
  <c r="D51" i="7" l="1"/>
  <c r="F35" i="7"/>
  <c r="G35" i="7" s="1"/>
  <c r="M13" i="7" s="1"/>
  <c r="K13" i="7"/>
  <c r="C25" i="10" l="1"/>
  <c r="D24" i="10"/>
  <c r="C10" i="8"/>
  <c r="D30" i="9"/>
  <c r="L13" i="7"/>
  <c r="D29" i="9" s="1"/>
  <c r="E36" i="7"/>
  <c r="D52" i="7"/>
  <c r="D53" i="7" l="1"/>
  <c r="F36" i="7"/>
  <c r="G36" i="7" s="1"/>
  <c r="E37" i="7" l="1"/>
  <c r="D54" i="7"/>
  <c r="D55" i="7" l="1"/>
  <c r="F37" i="7"/>
  <c r="G37" i="7" s="1"/>
  <c r="D56" i="7" l="1"/>
  <c r="E38" i="7"/>
  <c r="D57" i="7" l="1"/>
  <c r="F38" i="7"/>
  <c r="G38" i="7" s="1"/>
  <c r="E39" i="7" l="1"/>
  <c r="D58" i="7"/>
  <c r="D59" i="7" l="1"/>
  <c r="F39" i="7"/>
  <c r="G39" i="7" s="1"/>
  <c r="E40" i="7" l="1"/>
  <c r="D60" i="7"/>
  <c r="D61" i="7" l="1"/>
  <c r="F40" i="7"/>
  <c r="G40" i="7" s="1"/>
  <c r="E41" i="7" l="1"/>
  <c r="F41" i="7" s="1"/>
  <c r="G41" i="7" s="1"/>
  <c r="D62" i="7"/>
  <c r="E42" i="7" l="1"/>
  <c r="F42" i="7" s="1"/>
  <c r="G42" i="7" s="1"/>
  <c r="D63" i="7"/>
  <c r="E43" i="7" l="1"/>
  <c r="F43" i="7" s="1"/>
  <c r="G43" i="7" s="1"/>
  <c r="D64" i="7"/>
  <c r="E44" i="7" l="1"/>
  <c r="F44" i="7" s="1"/>
  <c r="G44" i="7" s="1"/>
  <c r="D65" i="7"/>
  <c r="E45" i="7" l="1"/>
  <c r="F45" i="7" s="1"/>
  <c r="G45" i="7" s="1"/>
  <c r="D66" i="7"/>
  <c r="E46" i="7" l="1"/>
  <c r="F46" i="7" s="1"/>
  <c r="G46" i="7" s="1"/>
  <c r="D67" i="7"/>
  <c r="E47" i="7" l="1"/>
  <c r="D68" i="7"/>
  <c r="D69" i="7" l="1"/>
  <c r="F47" i="7"/>
  <c r="G47" i="7" s="1"/>
  <c r="K14" i="7"/>
  <c r="D10" i="8" l="1"/>
  <c r="E30" i="9"/>
  <c r="L14" i="7"/>
  <c r="E48" i="7"/>
  <c r="M14" i="7"/>
  <c r="D70" i="7"/>
  <c r="D25" i="10" l="1"/>
  <c r="E24" i="10"/>
  <c r="E29" i="9"/>
  <c r="F48" i="7"/>
  <c r="G48" i="7" s="1"/>
  <c r="D71" i="7"/>
  <c r="E49" i="7" l="1"/>
  <c r="F49" i="7" l="1"/>
  <c r="G49" i="7" s="1"/>
  <c r="E50" i="7" l="1"/>
  <c r="F50" i="7" l="1"/>
  <c r="G50" i="7" s="1"/>
  <c r="E51" i="7" l="1"/>
  <c r="F51" i="7" l="1"/>
  <c r="G51" i="7" s="1"/>
  <c r="E52" i="7" l="1"/>
  <c r="F52" i="7" l="1"/>
  <c r="G52" i="7" s="1"/>
  <c r="E53" i="7" l="1"/>
  <c r="F53" i="7" s="1"/>
  <c r="G53" i="7" s="1"/>
  <c r="E54" i="7" l="1"/>
  <c r="F54" i="7" s="1"/>
  <c r="G54" i="7" s="1"/>
  <c r="E55" i="7" l="1"/>
  <c r="F55" i="7" s="1"/>
  <c r="G55" i="7" s="1"/>
  <c r="E56" i="7" l="1"/>
  <c r="F56" i="7" s="1"/>
  <c r="G56" i="7" s="1"/>
  <c r="E57" i="7" l="1"/>
  <c r="F57" i="7" s="1"/>
  <c r="G57" i="7" s="1"/>
  <c r="E58" i="7" l="1"/>
  <c r="F58" i="7" s="1"/>
  <c r="G58" i="7" s="1"/>
  <c r="E59" i="7" l="1"/>
  <c r="F59" i="7" l="1"/>
  <c r="G59" i="7" s="1"/>
  <c r="K15" i="7"/>
  <c r="E10" i="8" l="1"/>
  <c r="F30" i="9"/>
  <c r="L15" i="7"/>
  <c r="E60" i="7"/>
  <c r="M15" i="7"/>
  <c r="E25" i="10" l="1"/>
  <c r="F24" i="10"/>
  <c r="F25" i="10" s="1"/>
  <c r="F29" i="9"/>
  <c r="F60" i="7"/>
  <c r="G60" i="7" s="1"/>
  <c r="E61" i="7" l="1"/>
  <c r="F61" i="7" l="1"/>
  <c r="G61" i="7" s="1"/>
  <c r="E62" i="7" l="1"/>
  <c r="F62" i="7" l="1"/>
  <c r="G62" i="7" s="1"/>
  <c r="E63" i="7" l="1"/>
  <c r="F63" i="7" l="1"/>
  <c r="G63" i="7" s="1"/>
  <c r="E64" i="7" l="1"/>
  <c r="F64" i="7" l="1"/>
  <c r="G64" i="7" s="1"/>
  <c r="E65" i="7" l="1"/>
  <c r="F65" i="7" s="1"/>
  <c r="G65" i="7" s="1"/>
  <c r="E66" i="7" l="1"/>
  <c r="F66" i="7" s="1"/>
  <c r="G66" i="7" s="1"/>
  <c r="E67" i="7" l="1"/>
  <c r="F67" i="7" s="1"/>
  <c r="G67" i="7" s="1"/>
  <c r="E68" i="7" l="1"/>
  <c r="F68" i="7" s="1"/>
  <c r="G68" i="7" s="1"/>
  <c r="E69" i="7" l="1"/>
  <c r="F69" i="7" s="1"/>
  <c r="G69" i="7" s="1"/>
  <c r="E70" i="7" l="1"/>
  <c r="F70" i="7" s="1"/>
  <c r="G70" i="7" s="1"/>
  <c r="E71" i="7" l="1"/>
  <c r="F71" i="7" l="1"/>
  <c r="G71" i="7" s="1"/>
  <c r="M16" i="7" s="1"/>
  <c r="K16" i="7"/>
  <c r="F10" i="8" l="1"/>
  <c r="G30" i="9"/>
  <c r="L16" i="7"/>
  <c r="K17" i="7"/>
  <c r="L17" i="7" l="1"/>
  <c r="G29" i="9"/>
  <c r="D7" i="4"/>
  <c r="D5" i="6" s="1"/>
  <c r="I43" i="4"/>
  <c r="D6" i="4"/>
  <c r="D2" i="6" s="1"/>
  <c r="I35" i="4"/>
  <c r="I34" i="4"/>
  <c r="I33" i="4"/>
  <c r="I32" i="4"/>
  <c r="I6" i="4"/>
  <c r="I13" i="4"/>
  <c r="I23" i="4"/>
  <c r="I22" i="4"/>
  <c r="I21" i="4"/>
  <c r="I20" i="4"/>
  <c r="I19" i="4"/>
  <c r="I14" i="4"/>
  <c r="O92" i="1"/>
  <c r="C102" i="1" s="1"/>
  <c r="C103" i="1" s="1"/>
  <c r="B4" i="8"/>
  <c r="F19" i="3"/>
  <c r="F20" i="3"/>
  <c r="F18" i="3"/>
  <c r="F14" i="3"/>
  <c r="F15" i="3"/>
  <c r="F13" i="3"/>
  <c r="F11" i="10" l="1"/>
  <c r="G11" i="10"/>
  <c r="C11" i="10"/>
  <c r="D11" i="10"/>
  <c r="B11" i="10"/>
  <c r="E11" i="10"/>
  <c r="E12" i="6"/>
  <c r="E15" i="6" s="1"/>
  <c r="E8" i="10"/>
  <c r="B8" i="10"/>
  <c r="F8" i="10"/>
  <c r="C8" i="10"/>
  <c r="G8" i="10"/>
  <c r="D8" i="10"/>
  <c r="C8" i="9"/>
  <c r="C107" i="1"/>
  <c r="C108" i="1" s="1"/>
  <c r="D102" i="1"/>
  <c r="BK27" i="6"/>
  <c r="AU27" i="6"/>
  <c r="AE27" i="6"/>
  <c r="O27" i="6"/>
  <c r="BF27" i="6"/>
  <c r="AP27" i="6"/>
  <c r="Z27" i="6"/>
  <c r="J27" i="6"/>
  <c r="BE27" i="6"/>
  <c r="AO27" i="6"/>
  <c r="Y27" i="6"/>
  <c r="I27" i="6"/>
  <c r="AF27" i="6"/>
  <c r="AB27" i="6"/>
  <c r="AN27" i="6"/>
  <c r="T27" i="6"/>
  <c r="AQ27" i="6"/>
  <c r="AA27" i="6"/>
  <c r="K27" i="6"/>
  <c r="BB27" i="6"/>
  <c r="AL27" i="6"/>
  <c r="V27" i="6"/>
  <c r="F27" i="6"/>
  <c r="G28" i="6" s="1"/>
  <c r="BA27" i="6"/>
  <c r="U27" i="6"/>
  <c r="E27" i="6"/>
  <c r="P27" i="6"/>
  <c r="L27" i="6"/>
  <c r="BC27" i="6"/>
  <c r="W27" i="6"/>
  <c r="G27" i="6"/>
  <c r="AX27" i="6"/>
  <c r="R27" i="6"/>
  <c r="BM27" i="6"/>
  <c r="AG27" i="6"/>
  <c r="BL27" i="6"/>
  <c r="AJ27" i="6"/>
  <c r="AY27" i="6"/>
  <c r="BJ27" i="6"/>
  <c r="AD27" i="6"/>
  <c r="BI27" i="6"/>
  <c r="AC27" i="6"/>
  <c r="AV27" i="6"/>
  <c r="AR27" i="6"/>
  <c r="AZ27" i="6"/>
  <c r="BG27" i="6"/>
  <c r="AK27" i="6"/>
  <c r="X27" i="6"/>
  <c r="AM27" i="6"/>
  <c r="AH27" i="6"/>
  <c r="AW27" i="6"/>
  <c r="Q27" i="6"/>
  <c r="BH27" i="6"/>
  <c r="H27" i="6"/>
  <c r="AI27" i="6"/>
  <c r="S27" i="6"/>
  <c r="AT27" i="6"/>
  <c r="N27" i="6"/>
  <c r="AS27" i="6"/>
  <c r="M27" i="6"/>
  <c r="BD27" i="6"/>
  <c r="BG12" i="6"/>
  <c r="AQ12" i="6"/>
  <c r="AA12" i="6"/>
  <c r="K12" i="6"/>
  <c r="AU12" i="6"/>
  <c r="BC12" i="6"/>
  <c r="AM12" i="6"/>
  <c r="W12" i="6"/>
  <c r="G12" i="6"/>
  <c r="BJ12" i="6"/>
  <c r="BK12" i="6"/>
  <c r="O12" i="6"/>
  <c r="AY12" i="6"/>
  <c r="AI12" i="6"/>
  <c r="S12" i="6"/>
  <c r="AE12" i="6"/>
  <c r="AN12" i="6"/>
  <c r="P12" i="6"/>
  <c r="AZ12" i="6"/>
  <c r="BL12" i="6"/>
  <c r="U12" i="6"/>
  <c r="AK12" i="6"/>
  <c r="BA12" i="6"/>
  <c r="J12" i="6"/>
  <c r="Z12" i="6"/>
  <c r="AP12" i="6"/>
  <c r="BF12" i="6"/>
  <c r="AH12" i="6"/>
  <c r="AF12" i="6"/>
  <c r="AR12" i="6"/>
  <c r="Q12" i="6"/>
  <c r="BM12" i="6"/>
  <c r="BM13" i="6" s="1"/>
  <c r="F12" i="6"/>
  <c r="F13" i="6" s="1"/>
  <c r="BB12" i="6"/>
  <c r="L12" i="6"/>
  <c r="AV12" i="6"/>
  <c r="X12" i="6"/>
  <c r="M12" i="6"/>
  <c r="Y12" i="6"/>
  <c r="AO12" i="6"/>
  <c r="BE12" i="6"/>
  <c r="N12" i="6"/>
  <c r="AD12" i="6"/>
  <c r="AT12" i="6"/>
  <c r="BH12" i="6"/>
  <c r="AW12" i="6"/>
  <c r="AL12" i="6"/>
  <c r="T12" i="6"/>
  <c r="BD12" i="6"/>
  <c r="AJ12" i="6"/>
  <c r="H12" i="6"/>
  <c r="I12" i="6"/>
  <c r="AC12" i="6"/>
  <c r="AS12" i="6"/>
  <c r="BI12" i="6"/>
  <c r="R12" i="6"/>
  <c r="AX12" i="6"/>
  <c r="AB12" i="6"/>
  <c r="AG12" i="6"/>
  <c r="V12" i="6"/>
  <c r="E27" i="4"/>
  <c r="E23" i="4"/>
  <c r="E26" i="4"/>
  <c r="E25" i="4"/>
  <c r="E22" i="4"/>
  <c r="E24" i="4"/>
  <c r="D5" i="4"/>
  <c r="D4" i="4"/>
  <c r="D3" i="6" s="1"/>
  <c r="E21" i="4"/>
  <c r="E19" i="4"/>
  <c r="E20" i="4"/>
  <c r="E13" i="4"/>
  <c r="E14" i="4"/>
  <c r="O66" i="1"/>
  <c r="C76" i="1" s="1"/>
  <c r="C37" i="1"/>
  <c r="D76" i="1" l="1"/>
  <c r="E76" i="1" s="1"/>
  <c r="F76" i="1" s="1"/>
  <c r="G76" i="1" s="1"/>
  <c r="C81" i="1"/>
  <c r="C82" i="1" s="1"/>
  <c r="C114" i="1"/>
  <c r="F4" i="4"/>
  <c r="D62" i="6" s="1"/>
  <c r="F5" i="4"/>
  <c r="D63" i="6" s="1"/>
  <c r="F14" i="6"/>
  <c r="E36" i="6"/>
  <c r="E85" i="6"/>
  <c r="E61" i="6"/>
  <c r="C77" i="1"/>
  <c r="C115" i="1" s="1"/>
  <c r="B2" i="8" s="1"/>
  <c r="B11" i="8" s="1"/>
  <c r="D78" i="4" s="1"/>
  <c r="D9" i="10"/>
  <c r="E9" i="10"/>
  <c r="F9" i="10"/>
  <c r="C9" i="10"/>
  <c r="G9" i="10"/>
  <c r="B9" i="10"/>
  <c r="D4" i="6"/>
  <c r="AR22" i="6" s="1"/>
  <c r="D4" i="8"/>
  <c r="D8" i="9"/>
  <c r="D107" i="1"/>
  <c r="D108" i="1" s="1"/>
  <c r="D103" i="1"/>
  <c r="E102" i="1"/>
  <c r="E103" i="1" s="1"/>
  <c r="D37" i="1"/>
  <c r="C41" i="1"/>
  <c r="C42" i="1" s="1"/>
  <c r="H4" i="4"/>
  <c r="D37" i="6" s="1"/>
  <c r="G4" i="4"/>
  <c r="D86" i="6" s="1"/>
  <c r="E28" i="4"/>
  <c r="H5" i="4"/>
  <c r="D38" i="6" s="1"/>
  <c r="G5" i="4"/>
  <c r="D87" i="6" s="1"/>
  <c r="G7" i="4"/>
  <c r="D88" i="6" s="1"/>
  <c r="H7" i="4"/>
  <c r="D39" i="6" s="1"/>
  <c r="F7" i="4"/>
  <c r="D64" i="6" s="1"/>
  <c r="BC17" i="6"/>
  <c r="AM17" i="6"/>
  <c r="W17" i="6"/>
  <c r="G17" i="6"/>
  <c r="K17" i="6"/>
  <c r="AY17" i="6"/>
  <c r="AI17" i="6"/>
  <c r="S17" i="6"/>
  <c r="BJ17" i="6"/>
  <c r="AU17" i="6"/>
  <c r="AE17" i="6"/>
  <c r="O17" i="6"/>
  <c r="BG17" i="6"/>
  <c r="AQ17" i="6"/>
  <c r="BK17" i="6"/>
  <c r="AA17" i="6"/>
  <c r="T17" i="6"/>
  <c r="AJ17" i="6"/>
  <c r="AZ17" i="6"/>
  <c r="Q17" i="6"/>
  <c r="AG17" i="6"/>
  <c r="AW17" i="6"/>
  <c r="BM17" i="6"/>
  <c r="F17" i="6"/>
  <c r="V17" i="6"/>
  <c r="AL17" i="6"/>
  <c r="BB17" i="6"/>
  <c r="Y17" i="6"/>
  <c r="N17" i="6"/>
  <c r="AF17" i="6"/>
  <c r="BL17" i="6"/>
  <c r="AS17" i="6"/>
  <c r="AX17" i="6"/>
  <c r="H17" i="6"/>
  <c r="X17" i="6"/>
  <c r="AN17" i="6"/>
  <c r="BD17" i="6"/>
  <c r="E17" i="6"/>
  <c r="U17" i="6"/>
  <c r="AK17" i="6"/>
  <c r="BA17" i="6"/>
  <c r="J17" i="6"/>
  <c r="Z17" i="6"/>
  <c r="AP17" i="6"/>
  <c r="BF17" i="6"/>
  <c r="I17" i="6"/>
  <c r="AT17" i="6"/>
  <c r="AV17" i="6"/>
  <c r="M17" i="6"/>
  <c r="BI17" i="6"/>
  <c r="R17" i="6"/>
  <c r="L17" i="6"/>
  <c r="AB17" i="6"/>
  <c r="AR17" i="6"/>
  <c r="BH17" i="6"/>
  <c r="AO17" i="6"/>
  <c r="BE17" i="6"/>
  <c r="AD17" i="6"/>
  <c r="P17" i="6"/>
  <c r="AC17" i="6"/>
  <c r="AH17" i="6"/>
  <c r="BJ22" i="6"/>
  <c r="AF22" i="6"/>
  <c r="AV22" i="6"/>
  <c r="U22" i="6"/>
  <c r="AX22" i="6"/>
  <c r="G22" i="6"/>
  <c r="AW22" i="6"/>
  <c r="AP22" i="6"/>
  <c r="AQ22" i="6"/>
  <c r="BF22" i="6"/>
  <c r="W22" i="6"/>
  <c r="N28" i="6"/>
  <c r="R28" i="6"/>
  <c r="AS28" i="6"/>
  <c r="AE28" i="6"/>
  <c r="AY28" i="6"/>
  <c r="BB28" i="6"/>
  <c r="U28" i="6"/>
  <c r="P28" i="6"/>
  <c r="AT28" i="6"/>
  <c r="AX28" i="6"/>
  <c r="AW28" i="6"/>
  <c r="AH28" i="6"/>
  <c r="H28" i="6"/>
  <c r="L28" i="6"/>
  <c r="AO28" i="6"/>
  <c r="Z28" i="6"/>
  <c r="AF28" i="6"/>
  <c r="O28" i="6"/>
  <c r="I28" i="6"/>
  <c r="AI28" i="6"/>
  <c r="BH28" i="6"/>
  <c r="AD28" i="6"/>
  <c r="AZ28" i="6"/>
  <c r="X28" i="6"/>
  <c r="F28" i="6"/>
  <c r="E30" i="6"/>
  <c r="W28" i="6"/>
  <c r="AB28" i="6"/>
  <c r="AC28" i="6"/>
  <c r="AP28" i="6"/>
  <c r="AQ28" i="6"/>
  <c r="AV28" i="6"/>
  <c r="T28" i="6"/>
  <c r="Y28" i="6"/>
  <c r="BM28" i="6"/>
  <c r="M28" i="6"/>
  <c r="BC28" i="6"/>
  <c r="J28" i="6"/>
  <c r="K28" i="6"/>
  <c r="AJ28" i="6"/>
  <c r="AL28" i="6"/>
  <c r="BK28" i="6"/>
  <c r="Q28" i="6"/>
  <c r="AA28" i="6"/>
  <c r="BE28" i="6"/>
  <c r="AU28" i="6"/>
  <c r="BI28" i="6"/>
  <c r="AN28" i="6"/>
  <c r="BA28" i="6"/>
  <c r="BJ28" i="6"/>
  <c r="AK28" i="6"/>
  <c r="S28" i="6"/>
  <c r="BD28" i="6"/>
  <c r="V28" i="6"/>
  <c r="AM28" i="6"/>
  <c r="AR28" i="6"/>
  <c r="AG28" i="6"/>
  <c r="BF28" i="6"/>
  <c r="BG28" i="6"/>
  <c r="BL28" i="6"/>
  <c r="BI13" i="6"/>
  <c r="AD13" i="6"/>
  <c r="AV13" i="6"/>
  <c r="J13" i="6"/>
  <c r="O13" i="6"/>
  <c r="AB13" i="6"/>
  <c r="AS13" i="6"/>
  <c r="AJ13" i="6"/>
  <c r="AW13" i="6"/>
  <c r="N13" i="6"/>
  <c r="Q13" i="6"/>
  <c r="AZ13" i="6"/>
  <c r="BK13" i="6"/>
  <c r="AA13" i="6"/>
  <c r="H13" i="6"/>
  <c r="AL13" i="6"/>
  <c r="Y13" i="6"/>
  <c r="AH13" i="6"/>
  <c r="W13" i="6"/>
  <c r="AX13" i="6"/>
  <c r="AC13" i="6"/>
  <c r="BD13" i="6"/>
  <c r="BH13" i="6"/>
  <c r="BE13" i="6"/>
  <c r="M13" i="6"/>
  <c r="BB13" i="6"/>
  <c r="AR13" i="6"/>
  <c r="AP13" i="6"/>
  <c r="AK13" i="6"/>
  <c r="P13" i="6"/>
  <c r="AI13" i="6"/>
  <c r="BJ13" i="6"/>
  <c r="BC13" i="6"/>
  <c r="AQ13" i="6"/>
  <c r="AG13" i="6"/>
  <c r="BL13" i="6"/>
  <c r="AE13" i="6"/>
  <c r="K13" i="6"/>
  <c r="L13" i="6"/>
  <c r="BF13" i="6"/>
  <c r="BA13" i="6"/>
  <c r="S13" i="6"/>
  <c r="AM13" i="6"/>
  <c r="V13" i="6"/>
  <c r="R13" i="6"/>
  <c r="I13" i="6"/>
  <c r="T13" i="6"/>
  <c r="AT13" i="6"/>
  <c r="AO13" i="6"/>
  <c r="X13" i="6"/>
  <c r="AF13" i="6"/>
  <c r="Z13" i="6"/>
  <c r="U13" i="6"/>
  <c r="AN13" i="6"/>
  <c r="AY13" i="6"/>
  <c r="G13" i="6"/>
  <c r="AU13" i="6"/>
  <c r="BG13" i="6"/>
  <c r="D8" i="4"/>
  <c r="C20" i="5" s="1"/>
  <c r="D22" i="5" s="1"/>
  <c r="E15" i="4"/>
  <c r="O67" i="1"/>
  <c r="D77" i="1" l="1"/>
  <c r="AS22" i="6"/>
  <c r="BK22" i="6"/>
  <c r="AI22" i="6"/>
  <c r="AJ23" i="6" s="1"/>
  <c r="AN22" i="6"/>
  <c r="C120" i="1"/>
  <c r="B3" i="8" s="1"/>
  <c r="C7" i="9" s="1"/>
  <c r="I22" i="6"/>
  <c r="J23" i="6" s="1"/>
  <c r="AM22" i="6"/>
  <c r="AN23" i="6" s="1"/>
  <c r="J22" i="6"/>
  <c r="K23" i="6" s="1"/>
  <c r="BM22" i="6"/>
  <c r="AA22" i="6"/>
  <c r="AB23" i="6" s="1"/>
  <c r="AK22" i="6"/>
  <c r="AL23" i="6" s="1"/>
  <c r="BL22" i="6"/>
  <c r="BM23" i="6" s="1"/>
  <c r="L22" i="6"/>
  <c r="M23" i="6" s="1"/>
  <c r="BG22" i="6"/>
  <c r="BH23" i="6" s="1"/>
  <c r="K22" i="6"/>
  <c r="L23" i="6" s="1"/>
  <c r="AU22" i="6"/>
  <c r="Z22" i="6"/>
  <c r="AA23" i="6" s="1"/>
  <c r="S22" i="6"/>
  <c r="T23" i="6" s="1"/>
  <c r="F22" i="6"/>
  <c r="G23" i="6" s="1"/>
  <c r="X22" i="6"/>
  <c r="BH22" i="6"/>
  <c r="BI23" i="6" s="1"/>
  <c r="BE22" i="6"/>
  <c r="BB22" i="6"/>
  <c r="BC23" i="6" s="1"/>
  <c r="Y22" i="6"/>
  <c r="Z23" i="6" s="1"/>
  <c r="AC22" i="6"/>
  <c r="AD23" i="6" s="1"/>
  <c r="O22" i="6"/>
  <c r="Q22" i="6"/>
  <c r="R23" i="6" s="1"/>
  <c r="AT22" i="6"/>
  <c r="AU23" i="6" s="1"/>
  <c r="BC22" i="6"/>
  <c r="BD23" i="6" s="1"/>
  <c r="M22" i="6"/>
  <c r="N23" i="6" s="1"/>
  <c r="AY22" i="6"/>
  <c r="AZ23" i="6" s="1"/>
  <c r="BA22" i="6"/>
  <c r="BB23" i="6" s="1"/>
  <c r="T22" i="6"/>
  <c r="U23" i="6" s="1"/>
  <c r="AJ22" i="6"/>
  <c r="AK23" i="6" s="1"/>
  <c r="BD22" i="6"/>
  <c r="BE23" i="6" s="1"/>
  <c r="AB22" i="6"/>
  <c r="AC23" i="6" s="1"/>
  <c r="R22" i="6"/>
  <c r="S23" i="6" s="1"/>
  <c r="V22" i="6"/>
  <c r="W23" i="6" s="1"/>
  <c r="AD22" i="6"/>
  <c r="AE23" i="6" s="1"/>
  <c r="BI22" i="6"/>
  <c r="BJ23" i="6" s="1"/>
  <c r="AE22" i="6"/>
  <c r="AF23" i="6" s="1"/>
  <c r="AG22" i="6"/>
  <c r="N22" i="6"/>
  <c r="O23" i="6" s="1"/>
  <c r="AO22" i="6"/>
  <c r="AP23" i="6" s="1"/>
  <c r="AH22" i="6"/>
  <c r="AI23" i="6" s="1"/>
  <c r="E22" i="6"/>
  <c r="F23" i="6" s="1"/>
  <c r="AL22" i="6"/>
  <c r="AM23" i="6" s="1"/>
  <c r="AZ22" i="6"/>
  <c r="BA23" i="6" s="1"/>
  <c r="H22" i="6"/>
  <c r="I23" i="6" s="1"/>
  <c r="P22" i="6"/>
  <c r="Q23" i="6" s="1"/>
  <c r="B20" i="9"/>
  <c r="C20" i="9" s="1"/>
  <c r="D115" i="1"/>
  <c r="C2" i="8" s="1"/>
  <c r="C11" i="8" s="1"/>
  <c r="C10" i="10"/>
  <c r="G10" i="10"/>
  <c r="D10" i="10"/>
  <c r="E10" i="10"/>
  <c r="F10" i="10"/>
  <c r="B10" i="10"/>
  <c r="B13" i="10" s="1"/>
  <c r="E4" i="8"/>
  <c r="E8" i="9"/>
  <c r="F102" i="1"/>
  <c r="F103" i="1" s="1"/>
  <c r="E107" i="1"/>
  <c r="E108" i="1" s="1"/>
  <c r="D114" i="1"/>
  <c r="D41" i="1"/>
  <c r="D42" i="1" s="1"/>
  <c r="C119" i="1"/>
  <c r="E77" i="1"/>
  <c r="D81" i="1"/>
  <c r="D82" i="1" s="1"/>
  <c r="I7" i="4"/>
  <c r="I5" i="4"/>
  <c r="BF23" i="6"/>
  <c r="P23" i="6"/>
  <c r="AD18" i="6"/>
  <c r="AP18" i="6"/>
  <c r="M18" i="6"/>
  <c r="L37" i="6" s="1"/>
  <c r="AW18" i="6"/>
  <c r="AQ18" i="6"/>
  <c r="AL18" i="6"/>
  <c r="AO18" i="6"/>
  <c r="AT18" i="6"/>
  <c r="Z18" i="6"/>
  <c r="G18" i="6"/>
  <c r="F37" i="6" s="1"/>
  <c r="R18" i="6"/>
  <c r="AB18" i="6"/>
  <c r="P18" i="6"/>
  <c r="O37" i="6" s="1"/>
  <c r="T18" i="6"/>
  <c r="H18" i="6"/>
  <c r="G37" i="6" s="1"/>
  <c r="AH23" i="6"/>
  <c r="AS23" i="6"/>
  <c r="Q18" i="6"/>
  <c r="P37" i="6" s="1"/>
  <c r="BI18" i="6"/>
  <c r="S18" i="6"/>
  <c r="AU18" i="6"/>
  <c r="AA18" i="6"/>
  <c r="V18" i="6"/>
  <c r="Y18" i="6"/>
  <c r="BM18" i="6"/>
  <c r="BC18" i="6"/>
  <c r="BA18" i="6"/>
  <c r="BL18" i="6"/>
  <c r="AF18" i="6"/>
  <c r="AJ18" i="6"/>
  <c r="X18" i="6"/>
  <c r="X23" i="6"/>
  <c r="BG23" i="6"/>
  <c r="AQ23" i="6"/>
  <c r="AV23" i="6"/>
  <c r="AX23" i="6"/>
  <c r="AY23" i="6"/>
  <c r="V23" i="6"/>
  <c r="AG23" i="6"/>
  <c r="Y23" i="6"/>
  <c r="BK23" i="6"/>
  <c r="AE18" i="6"/>
  <c r="AS18" i="6"/>
  <c r="BJ18" i="6"/>
  <c r="J18" i="6"/>
  <c r="I37" i="6" s="1"/>
  <c r="K18" i="6"/>
  <c r="J37" i="6" s="1"/>
  <c r="F18" i="6"/>
  <c r="E20" i="6"/>
  <c r="I18" i="6"/>
  <c r="H37" i="6" s="1"/>
  <c r="AG18" i="6"/>
  <c r="AM18" i="6"/>
  <c r="AX18" i="6"/>
  <c r="AK18" i="6"/>
  <c r="AR18" i="6"/>
  <c r="AV18" i="6"/>
  <c r="AZ18" i="6"/>
  <c r="AN18" i="6"/>
  <c r="AT23" i="6"/>
  <c r="AR23" i="6"/>
  <c r="BL23" i="6"/>
  <c r="H23" i="6"/>
  <c r="G38" i="6" s="1"/>
  <c r="AW23" i="6"/>
  <c r="AO23" i="6"/>
  <c r="AI18" i="6"/>
  <c r="BF18" i="6"/>
  <c r="AC18" i="6"/>
  <c r="N18" i="6"/>
  <c r="M37" i="6" s="1"/>
  <c r="BG18" i="6"/>
  <c r="BB18" i="6"/>
  <c r="BE18" i="6"/>
  <c r="AY18" i="6"/>
  <c r="O18" i="6"/>
  <c r="N37" i="6" s="1"/>
  <c r="W18" i="6"/>
  <c r="AH18" i="6"/>
  <c r="U18" i="6"/>
  <c r="BH18" i="6"/>
  <c r="BK18" i="6"/>
  <c r="L18" i="6"/>
  <c r="K37" i="6" s="1"/>
  <c r="BD18" i="6"/>
  <c r="I64" i="6"/>
  <c r="I39" i="6"/>
  <c r="L39" i="6"/>
  <c r="L64" i="6"/>
  <c r="F29" i="6"/>
  <c r="P88" i="6"/>
  <c r="K88" i="6"/>
  <c r="F88" i="6"/>
  <c r="L88" i="6"/>
  <c r="N88" i="6"/>
  <c r="O88" i="6"/>
  <c r="E39" i="6"/>
  <c r="G88" i="6"/>
  <c r="I88" i="6"/>
  <c r="J88" i="6"/>
  <c r="H88" i="6"/>
  <c r="M88" i="6"/>
  <c r="E64" i="6"/>
  <c r="E88" i="6"/>
  <c r="H39" i="6"/>
  <c r="H64" i="6"/>
  <c r="F39" i="6"/>
  <c r="F64" i="6"/>
  <c r="O64" i="6"/>
  <c r="O39" i="6"/>
  <c r="P64" i="6"/>
  <c r="P39" i="6"/>
  <c r="J39" i="6"/>
  <c r="J64" i="6"/>
  <c r="N39" i="6"/>
  <c r="N64" i="6"/>
  <c r="K39" i="6"/>
  <c r="K64" i="6"/>
  <c r="G39" i="6"/>
  <c r="G64" i="6"/>
  <c r="M39" i="6"/>
  <c r="M64" i="6"/>
  <c r="H36" i="6"/>
  <c r="H61" i="6"/>
  <c r="J61" i="6"/>
  <c r="J36" i="6"/>
  <c r="O61" i="6"/>
  <c r="O36" i="6"/>
  <c r="M36" i="6"/>
  <c r="M61" i="6"/>
  <c r="I36" i="6"/>
  <c r="I61" i="6"/>
  <c r="F61" i="6"/>
  <c r="F36" i="6"/>
  <c r="K85" i="6"/>
  <c r="P85" i="6"/>
  <c r="H85" i="6"/>
  <c r="O85" i="6"/>
  <c r="G85" i="6"/>
  <c r="J85" i="6"/>
  <c r="F85" i="6"/>
  <c r="M85" i="6"/>
  <c r="L85" i="6"/>
  <c r="I85" i="6"/>
  <c r="N85" i="6"/>
  <c r="K61" i="6"/>
  <c r="K36" i="6"/>
  <c r="L36" i="6"/>
  <c r="L61" i="6"/>
  <c r="G36" i="6"/>
  <c r="G61" i="6"/>
  <c r="P36" i="6"/>
  <c r="P61" i="6"/>
  <c r="N36" i="6"/>
  <c r="N61" i="6"/>
  <c r="E7" i="4"/>
  <c r="E4" i="4"/>
  <c r="E6" i="4"/>
  <c r="E5" i="4"/>
  <c r="I4" i="4"/>
  <c r="I12" i="4"/>
  <c r="D20" i="5" l="1"/>
  <c r="D80" i="4"/>
  <c r="E25" i="6"/>
  <c r="D21" i="5"/>
  <c r="D17" i="5"/>
  <c r="D19" i="5"/>
  <c r="D15" i="5"/>
  <c r="D18" i="5"/>
  <c r="D12" i="5"/>
  <c r="D13" i="5"/>
  <c r="D11" i="5"/>
  <c r="D14" i="5"/>
  <c r="D16" i="5"/>
  <c r="F37" i="1"/>
  <c r="E37" i="1"/>
  <c r="F4" i="8"/>
  <c r="G8" i="9" s="1"/>
  <c r="F8" i="9"/>
  <c r="G102" i="1"/>
  <c r="F107" i="1"/>
  <c r="F108" i="1" s="1"/>
  <c r="D119" i="1"/>
  <c r="D120" i="1"/>
  <c r="F77" i="1"/>
  <c r="E81" i="1"/>
  <c r="E82" i="1" s="1"/>
  <c r="E114" i="1"/>
  <c r="E41" i="1"/>
  <c r="E42" i="1" s="1"/>
  <c r="L38" i="6"/>
  <c r="L40" i="6" s="1"/>
  <c r="L56" i="6" s="1"/>
  <c r="L63" i="6"/>
  <c r="P38" i="6"/>
  <c r="P40" i="6" s="1"/>
  <c r="P56" i="6" s="1"/>
  <c r="P63" i="6"/>
  <c r="G87" i="6"/>
  <c r="M87" i="6"/>
  <c r="P87" i="6"/>
  <c r="J87" i="6"/>
  <c r="O87" i="6"/>
  <c r="E63" i="6"/>
  <c r="F24" i="6"/>
  <c r="E38" i="6"/>
  <c r="I87" i="6"/>
  <c r="F87" i="6"/>
  <c r="E87" i="6"/>
  <c r="K87" i="6"/>
  <c r="N87" i="6"/>
  <c r="H87" i="6"/>
  <c r="L87" i="6"/>
  <c r="G63" i="6"/>
  <c r="G40" i="6"/>
  <c r="G56" i="6" s="1"/>
  <c r="J38" i="6"/>
  <c r="J40" i="6" s="1"/>
  <c r="J56" i="6" s="1"/>
  <c r="J63" i="6"/>
  <c r="I38" i="6"/>
  <c r="I40" i="6" s="1"/>
  <c r="I56" i="6" s="1"/>
  <c r="I63" i="6"/>
  <c r="G62" i="6"/>
  <c r="I62" i="6"/>
  <c r="J86" i="6"/>
  <c r="J89" i="6" s="1"/>
  <c r="J103" i="6" s="1"/>
  <c r="H86" i="6"/>
  <c r="P62" i="6"/>
  <c r="H62" i="6"/>
  <c r="P86" i="6"/>
  <c r="K86" i="6"/>
  <c r="F19" i="6"/>
  <c r="I86" i="6"/>
  <c r="E37" i="6"/>
  <c r="E40" i="6" s="1"/>
  <c r="E56" i="6" s="1"/>
  <c r="N86" i="6"/>
  <c r="N89" i="6" s="1"/>
  <c r="N103" i="6" s="1"/>
  <c r="M86" i="6"/>
  <c r="M89" i="6" s="1"/>
  <c r="M103" i="6" s="1"/>
  <c r="E86" i="6"/>
  <c r="F62" i="6"/>
  <c r="N62" i="6"/>
  <c r="K62" i="6"/>
  <c r="O86" i="6"/>
  <c r="L86" i="6"/>
  <c r="M62" i="6"/>
  <c r="L62" i="6"/>
  <c r="L65" i="6" s="1"/>
  <c r="L80" i="6" s="1"/>
  <c r="F86" i="6"/>
  <c r="E62" i="6"/>
  <c r="J62" i="6"/>
  <c r="O62" i="6"/>
  <c r="G86" i="6"/>
  <c r="F38" i="6"/>
  <c r="F40" i="6" s="1"/>
  <c r="F56" i="6" s="1"/>
  <c r="F63" i="6"/>
  <c r="K38" i="6"/>
  <c r="K40" i="6" s="1"/>
  <c r="K56" i="6" s="1"/>
  <c r="K63" i="6"/>
  <c r="H38" i="6"/>
  <c r="H40" i="6" s="1"/>
  <c r="H56" i="6" s="1"/>
  <c r="H63" i="6"/>
  <c r="N63" i="6"/>
  <c r="N38" i="6"/>
  <c r="N40" i="6" s="1"/>
  <c r="N56" i="6" s="1"/>
  <c r="M63" i="6"/>
  <c r="M38" i="6"/>
  <c r="M40" i="6" s="1"/>
  <c r="M56" i="6" s="1"/>
  <c r="O38" i="6"/>
  <c r="O40" i="6" s="1"/>
  <c r="O56" i="6" s="1"/>
  <c r="O63" i="6"/>
  <c r="G29" i="6"/>
  <c r="F30" i="6"/>
  <c r="G14" i="6"/>
  <c r="F15" i="6"/>
  <c r="E8" i="4"/>
  <c r="D23" i="5" l="1"/>
  <c r="C7" i="5"/>
  <c r="D4" i="5" s="1"/>
  <c r="F89" i="6"/>
  <c r="F103" i="6" s="1"/>
  <c r="G107" i="1"/>
  <c r="G108" i="1" s="1"/>
  <c r="G103" i="1"/>
  <c r="G89" i="6"/>
  <c r="G103" i="6" s="1"/>
  <c r="O89" i="6"/>
  <c r="O103" i="6" s="1"/>
  <c r="I89" i="6"/>
  <c r="I103" i="6" s="1"/>
  <c r="E65" i="6"/>
  <c r="L89" i="6"/>
  <c r="L103" i="6" s="1"/>
  <c r="C10" i="9"/>
  <c r="C3" i="8"/>
  <c r="D7" i="9" s="1"/>
  <c r="C31" i="9"/>
  <c r="C33" i="9" s="1"/>
  <c r="C4" i="9"/>
  <c r="C5" i="9" s="1"/>
  <c r="E120" i="1"/>
  <c r="D3" i="8" s="1"/>
  <c r="E7" i="9" s="1"/>
  <c r="E119" i="1"/>
  <c r="F81" i="1"/>
  <c r="F82" i="1" s="1"/>
  <c r="E115" i="1"/>
  <c r="D2" i="8" s="1"/>
  <c r="D11" i="8" s="1"/>
  <c r="G37" i="1"/>
  <c r="F114" i="1"/>
  <c r="F41" i="1"/>
  <c r="F42" i="1" s="1"/>
  <c r="H89" i="6"/>
  <c r="H103" i="6" s="1"/>
  <c r="O65" i="6"/>
  <c r="O80" i="6" s="1"/>
  <c r="P65" i="6"/>
  <c r="P80" i="6" s="1"/>
  <c r="G65" i="6"/>
  <c r="G80" i="6" s="1"/>
  <c r="F65" i="6"/>
  <c r="J65" i="6"/>
  <c r="J80" i="6" s="1"/>
  <c r="M65" i="6"/>
  <c r="M80" i="6" s="1"/>
  <c r="K89" i="6"/>
  <c r="K103" i="6" s="1"/>
  <c r="I65" i="6"/>
  <c r="I80" i="6" s="1"/>
  <c r="K65" i="6"/>
  <c r="K80" i="6" s="1"/>
  <c r="E89" i="6"/>
  <c r="E103" i="6" s="1"/>
  <c r="P89" i="6"/>
  <c r="P103" i="6" s="1"/>
  <c r="N65" i="6"/>
  <c r="N80" i="6" s="1"/>
  <c r="H65" i="6"/>
  <c r="H80" i="6" s="1"/>
  <c r="G24" i="6"/>
  <c r="F25" i="6"/>
  <c r="G19" i="6"/>
  <c r="F20" i="6"/>
  <c r="H29" i="6"/>
  <c r="G30" i="6"/>
  <c r="H14" i="6"/>
  <c r="G15" i="6"/>
  <c r="F80" i="6" l="1"/>
  <c r="D6" i="5"/>
  <c r="D5" i="5"/>
  <c r="D75" i="4"/>
  <c r="D103" i="6"/>
  <c r="C15" i="9"/>
  <c r="G81" i="1"/>
  <c r="G82" i="1" s="1"/>
  <c r="G77" i="1"/>
  <c r="E10" i="9"/>
  <c r="D10" i="9"/>
  <c r="F10" i="9"/>
  <c r="G10" i="9"/>
  <c r="D4" i="9"/>
  <c r="D5" i="9" s="1"/>
  <c r="D31" i="9"/>
  <c r="D33" i="9" s="1"/>
  <c r="D34" i="9" s="1"/>
  <c r="G114" i="1"/>
  <c r="G41" i="1"/>
  <c r="G42" i="1" s="1"/>
  <c r="E4" i="9"/>
  <c r="E5" i="9" s="1"/>
  <c r="E31" i="9"/>
  <c r="E33" i="9" s="1"/>
  <c r="E34" i="9" s="1"/>
  <c r="F120" i="1"/>
  <c r="E3" i="8" s="1"/>
  <c r="F7" i="9" s="1"/>
  <c r="F119" i="1"/>
  <c r="F115" i="1"/>
  <c r="E2" i="8" s="1"/>
  <c r="E11" i="8" s="1"/>
  <c r="H24" i="6"/>
  <c r="G25" i="6"/>
  <c r="H19" i="6"/>
  <c r="G20" i="6"/>
  <c r="I29" i="6"/>
  <c r="H30" i="6"/>
  <c r="I14" i="6"/>
  <c r="H15" i="6"/>
  <c r="G120" i="1" l="1"/>
  <c r="F3" i="8" s="1"/>
  <c r="G7" i="9" s="1"/>
  <c r="G115" i="1"/>
  <c r="F2" i="8" s="1"/>
  <c r="F15" i="9"/>
  <c r="E15" i="9"/>
  <c r="G15" i="9"/>
  <c r="D15" i="9"/>
  <c r="G119" i="1"/>
  <c r="F4" i="9"/>
  <c r="F5" i="9" s="1"/>
  <c r="F31" i="9"/>
  <c r="F33" i="9" s="1"/>
  <c r="F34" i="9" s="1"/>
  <c r="I19" i="6"/>
  <c r="H20" i="6"/>
  <c r="I24" i="6"/>
  <c r="H25" i="6"/>
  <c r="J29" i="6"/>
  <c r="I30" i="6"/>
  <c r="J14" i="6"/>
  <c r="I15" i="6"/>
  <c r="F11" i="8" l="1"/>
  <c r="G31" i="9" s="1"/>
  <c r="G33" i="9" s="1"/>
  <c r="G34" i="9" s="1"/>
  <c r="G4" i="9"/>
  <c r="G5" i="9" s="1"/>
  <c r="D80" i="6"/>
  <c r="B7" i="8" s="1"/>
  <c r="J24" i="6"/>
  <c r="I25" i="6"/>
  <c r="J19" i="6"/>
  <c r="I20" i="6"/>
  <c r="K29" i="6"/>
  <c r="J30" i="6"/>
  <c r="K14" i="6"/>
  <c r="J15" i="6"/>
  <c r="B8" i="8" l="1"/>
  <c r="C8" i="8" s="1"/>
  <c r="D8" i="8" s="1"/>
  <c r="E8" i="8" s="1"/>
  <c r="F8" i="8" s="1"/>
  <c r="D56" i="6"/>
  <c r="B5" i="8" s="1"/>
  <c r="D72" i="4"/>
  <c r="D73" i="4" s="1"/>
  <c r="D82" i="4" s="1"/>
  <c r="C7" i="8"/>
  <c r="K24" i="6"/>
  <c r="J25" i="6"/>
  <c r="K19" i="6"/>
  <c r="J20" i="6"/>
  <c r="L29" i="6"/>
  <c r="K30" i="6"/>
  <c r="L14" i="6"/>
  <c r="K15" i="6"/>
  <c r="C14" i="9" l="1"/>
  <c r="C17" i="9" s="1"/>
  <c r="C5" i="8"/>
  <c r="B6" i="8"/>
  <c r="B9" i="8" s="1"/>
  <c r="B12" i="8" s="1"/>
  <c r="B13" i="8" s="1"/>
  <c r="C20" i="10" s="1"/>
  <c r="C22" i="10" s="1"/>
  <c r="D14" i="9"/>
  <c r="D7" i="8"/>
  <c r="C9" i="9"/>
  <c r="C11" i="9" s="1"/>
  <c r="C12" i="9" s="1"/>
  <c r="L19" i="6"/>
  <c r="K20" i="6"/>
  <c r="L24" i="6"/>
  <c r="K25" i="6"/>
  <c r="M29" i="6"/>
  <c r="L30" i="6"/>
  <c r="M14" i="6"/>
  <c r="L15" i="6"/>
  <c r="C18" i="9" l="1"/>
  <c r="D9" i="9"/>
  <c r="C6" i="8"/>
  <c r="C9" i="8" s="1"/>
  <c r="C12" i="8" s="1"/>
  <c r="D5" i="8"/>
  <c r="E7" i="8"/>
  <c r="E14" i="9"/>
  <c r="M24" i="6"/>
  <c r="L25" i="6"/>
  <c r="M19" i="6"/>
  <c r="L20" i="6"/>
  <c r="N29" i="6"/>
  <c r="M30" i="6"/>
  <c r="N14" i="6"/>
  <c r="M15" i="6"/>
  <c r="D11" i="9" l="1"/>
  <c r="D12" i="9" s="1"/>
  <c r="B14" i="8"/>
  <c r="C35" i="10" s="1"/>
  <c r="D34" i="10" s="1"/>
  <c r="C29" i="10"/>
  <c r="F14" i="9"/>
  <c r="F7" i="8"/>
  <c r="G14" i="9" s="1"/>
  <c r="E9" i="9"/>
  <c r="E5" i="8"/>
  <c r="D6" i="8"/>
  <c r="D9" i="8" s="1"/>
  <c r="D12" i="8" s="1"/>
  <c r="D16" i="9"/>
  <c r="D17" i="9" s="1"/>
  <c r="C13" i="8"/>
  <c r="N19" i="6"/>
  <c r="M20" i="6"/>
  <c r="N24" i="6"/>
  <c r="M25" i="6"/>
  <c r="O29" i="6"/>
  <c r="N30" i="6"/>
  <c r="O14" i="6"/>
  <c r="N15" i="6"/>
  <c r="B3" i="10" l="1"/>
  <c r="B6" i="10" s="1"/>
  <c r="B15" i="10" s="1"/>
  <c r="B21" i="9"/>
  <c r="C21" i="9" s="1"/>
  <c r="E11" i="9"/>
  <c r="E12" i="9" s="1"/>
  <c r="D18" i="9"/>
  <c r="D23" i="9" s="1"/>
  <c r="D35" i="9" s="1"/>
  <c r="D36" i="9" s="1"/>
  <c r="E16" i="9"/>
  <c r="E17" i="9" s="1"/>
  <c r="D20" i="10"/>
  <c r="D22" i="10" s="1"/>
  <c r="D29" i="10" s="1"/>
  <c r="F9" i="9"/>
  <c r="F5" i="8"/>
  <c r="E6" i="8"/>
  <c r="E9" i="8" s="1"/>
  <c r="E12" i="8" s="1"/>
  <c r="C14" i="8"/>
  <c r="D35" i="10" s="1"/>
  <c r="E34" i="10" s="1"/>
  <c r="D13" i="8"/>
  <c r="O24" i="6"/>
  <c r="N25" i="6"/>
  <c r="O19" i="6"/>
  <c r="N20" i="6"/>
  <c r="P29" i="6"/>
  <c r="O30" i="6"/>
  <c r="P14" i="6"/>
  <c r="O15" i="6"/>
  <c r="C22" i="9" l="1"/>
  <c r="C37" i="9"/>
  <c r="F11" i="9"/>
  <c r="F12" i="9" s="1"/>
  <c r="B22" i="9"/>
  <c r="E18" i="9"/>
  <c r="E23" i="9" s="1"/>
  <c r="E35" i="9" s="1"/>
  <c r="E36" i="9" s="1"/>
  <c r="F16" i="9"/>
  <c r="F17" i="9" s="1"/>
  <c r="E20" i="10"/>
  <c r="E22" i="10" s="1"/>
  <c r="E29" i="10" s="1"/>
  <c r="F6" i="8"/>
  <c r="F9" i="8" s="1"/>
  <c r="F12" i="8" s="1"/>
  <c r="F13" i="8" s="1"/>
  <c r="G9" i="9"/>
  <c r="E13" i="8"/>
  <c r="D14" i="8"/>
  <c r="E35" i="10" s="1"/>
  <c r="F34" i="10" s="1"/>
  <c r="P19" i="6"/>
  <c r="O20" i="6"/>
  <c r="P24" i="6"/>
  <c r="O25" i="6"/>
  <c r="Q29" i="6"/>
  <c r="P30" i="6"/>
  <c r="Q14" i="6"/>
  <c r="P15" i="6"/>
  <c r="G11" i="9" l="1"/>
  <c r="G12" i="9" s="1"/>
  <c r="B25" i="9"/>
  <c r="F10" i="11" s="1"/>
  <c r="F12" i="11" s="1"/>
  <c r="G11" i="11" s="1"/>
  <c r="B23" i="9"/>
  <c r="F18" i="9"/>
  <c r="F23" i="9" s="1"/>
  <c r="F35" i="9" s="1"/>
  <c r="F36" i="9" s="1"/>
  <c r="G16" i="9"/>
  <c r="G17" i="9" s="1"/>
  <c r="F20" i="10"/>
  <c r="F22" i="10" s="1"/>
  <c r="F29" i="10" s="1"/>
  <c r="F14" i="8"/>
  <c r="G35" i="10" s="1"/>
  <c r="G20" i="10"/>
  <c r="G22" i="10" s="1"/>
  <c r="G29" i="10" s="1"/>
  <c r="E14" i="8"/>
  <c r="F35" i="10" s="1"/>
  <c r="G34" i="10" s="1"/>
  <c r="Q24" i="6"/>
  <c r="P25" i="6"/>
  <c r="Q19" i="6"/>
  <c r="P20" i="6"/>
  <c r="R29" i="6"/>
  <c r="Q30" i="6"/>
  <c r="R14" i="6"/>
  <c r="Q15" i="6"/>
  <c r="C12" i="10" l="1"/>
  <c r="C13" i="10" s="1"/>
  <c r="B27" i="9"/>
  <c r="B34" i="9" s="1"/>
  <c r="B35" i="9" s="1"/>
  <c r="B36" i="9" s="1"/>
  <c r="B38" i="9" s="1"/>
  <c r="D20" i="11" s="1"/>
  <c r="B33" i="10"/>
  <c r="B37" i="10" s="1"/>
  <c r="B40" i="10" s="1"/>
  <c r="B42" i="10" s="1"/>
  <c r="G18" i="9"/>
  <c r="G23" i="9" s="1"/>
  <c r="G35" i="9" s="1"/>
  <c r="G36" i="9" s="1"/>
  <c r="C25" i="9"/>
  <c r="C27" i="9" s="1"/>
  <c r="C34" i="9" s="1"/>
  <c r="C23" i="9"/>
  <c r="G10" i="11"/>
  <c r="B14" i="11" s="1"/>
  <c r="R19" i="6"/>
  <c r="Q20" i="6"/>
  <c r="R24" i="6"/>
  <c r="Q25" i="6"/>
  <c r="S29" i="6"/>
  <c r="R30" i="6"/>
  <c r="S14" i="6"/>
  <c r="R15" i="6"/>
  <c r="D75" i="11" l="1"/>
  <c r="D31" i="11"/>
  <c r="E21" i="11"/>
  <c r="F21" i="11" s="1"/>
  <c r="E25" i="11"/>
  <c r="F25" i="11" s="1"/>
  <c r="E22" i="11"/>
  <c r="F22" i="11" s="1"/>
  <c r="E23" i="11"/>
  <c r="F23" i="11" s="1"/>
  <c r="E24" i="11"/>
  <c r="F24" i="11" s="1"/>
  <c r="E20" i="11"/>
  <c r="C33" i="10"/>
  <c r="D33" i="10" s="1"/>
  <c r="C35" i="9"/>
  <c r="S24" i="6"/>
  <c r="R25" i="6"/>
  <c r="S19" i="6"/>
  <c r="R20" i="6"/>
  <c r="T29" i="6"/>
  <c r="S30" i="6"/>
  <c r="T14" i="6"/>
  <c r="S15" i="6"/>
  <c r="E45" i="9" l="1"/>
  <c r="F20" i="11"/>
  <c r="G20" i="11" s="1"/>
  <c r="D48" i="11"/>
  <c r="E31" i="11"/>
  <c r="F31" i="11" s="1"/>
  <c r="F75" i="11"/>
  <c r="F48" i="11"/>
  <c r="H48" i="11"/>
  <c r="C36" i="9"/>
  <c r="C38" i="9" s="1"/>
  <c r="C37" i="10"/>
  <c r="C40" i="10" s="1"/>
  <c r="E33" i="10"/>
  <c r="D37" i="10"/>
  <c r="D40" i="10" s="1"/>
  <c r="T19" i="6"/>
  <c r="S20" i="6"/>
  <c r="T24" i="6"/>
  <c r="S25" i="6"/>
  <c r="U29" i="6"/>
  <c r="T30" i="6"/>
  <c r="U14" i="6"/>
  <c r="T15" i="6"/>
  <c r="F45" i="9" l="1"/>
  <c r="D87" i="11"/>
  <c r="F87" i="11" s="1"/>
  <c r="D62" i="11"/>
  <c r="F62" i="11" s="1"/>
  <c r="D21" i="11"/>
  <c r="G21" i="11" s="1"/>
  <c r="D37" i="9"/>
  <c r="D38" i="9" s="1"/>
  <c r="C3" i="10"/>
  <c r="C6" i="10" s="1"/>
  <c r="C15" i="10" s="1"/>
  <c r="C42" i="10" s="1"/>
  <c r="F33" i="10"/>
  <c r="E37" i="10"/>
  <c r="E40" i="10" s="1"/>
  <c r="U24" i="6"/>
  <c r="T25" i="6"/>
  <c r="U19" i="6"/>
  <c r="T20" i="6"/>
  <c r="V29" i="6"/>
  <c r="U30" i="6"/>
  <c r="V14" i="6"/>
  <c r="U15" i="6"/>
  <c r="E76" i="11" l="1"/>
  <c r="D32" i="11"/>
  <c r="D22" i="11"/>
  <c r="G22" i="11" s="1"/>
  <c r="E37" i="9"/>
  <c r="E38" i="9" s="1"/>
  <c r="D23" i="11" s="1"/>
  <c r="D3" i="10"/>
  <c r="D6" i="10" s="1"/>
  <c r="G33" i="10"/>
  <c r="G37" i="10" s="1"/>
  <c r="G40" i="10" s="1"/>
  <c r="F37" i="10"/>
  <c r="F40" i="10" s="1"/>
  <c r="V19" i="6"/>
  <c r="U20" i="6"/>
  <c r="V24" i="6"/>
  <c r="U25" i="6"/>
  <c r="W29" i="6"/>
  <c r="V30" i="6"/>
  <c r="W14" i="6"/>
  <c r="V15" i="6"/>
  <c r="D34" i="11" l="1"/>
  <c r="F51" i="11" s="1"/>
  <c r="H51" i="11" s="1"/>
  <c r="G23" i="11"/>
  <c r="E77" i="11"/>
  <c r="E82" i="11" s="1"/>
  <c r="D33" i="11"/>
  <c r="F50" i="11" s="1"/>
  <c r="D50" i="11" s="1"/>
  <c r="F49" i="11"/>
  <c r="E78" i="11"/>
  <c r="E32" i="11"/>
  <c r="F32" i="11" s="1"/>
  <c r="F76" i="11"/>
  <c r="F37" i="9"/>
  <c r="F38" i="9" s="1"/>
  <c r="D24" i="11" s="1"/>
  <c r="E79" i="11" s="1"/>
  <c r="E3" i="10"/>
  <c r="E6" i="10" s="1"/>
  <c r="W24" i="6"/>
  <c r="V25" i="6"/>
  <c r="W19" i="6"/>
  <c r="V20" i="6"/>
  <c r="X29" i="6"/>
  <c r="W30" i="6"/>
  <c r="X14" i="6"/>
  <c r="W15" i="6"/>
  <c r="D51" i="11" l="1"/>
  <c r="E65" i="11" s="1"/>
  <c r="D49" i="11"/>
  <c r="E63" i="11" s="1"/>
  <c r="H49" i="11"/>
  <c r="E88" i="11" s="1"/>
  <c r="H50" i="11"/>
  <c r="E89" i="11" s="1"/>
  <c r="E64" i="11"/>
  <c r="E33" i="11"/>
  <c r="F33" i="11" s="1"/>
  <c r="E34" i="11"/>
  <c r="F77" i="11"/>
  <c r="F78" i="11" s="1"/>
  <c r="D35" i="11"/>
  <c r="E90" i="11"/>
  <c r="G37" i="9"/>
  <c r="F3" i="10"/>
  <c r="F6" i="10" s="1"/>
  <c r="X19" i="6"/>
  <c r="W20" i="6"/>
  <c r="X24" i="6"/>
  <c r="W25" i="6"/>
  <c r="Y29" i="6"/>
  <c r="X30" i="6"/>
  <c r="Y14" i="6"/>
  <c r="X15" i="6"/>
  <c r="G38" i="9" l="1"/>
  <c r="E35" i="11"/>
  <c r="F52" i="11"/>
  <c r="G34" i="11"/>
  <c r="H34" i="11" s="1"/>
  <c r="F34" i="11"/>
  <c r="E94" i="11"/>
  <c r="F88" i="11"/>
  <c r="F89" i="11" s="1"/>
  <c r="F90" i="11" s="1"/>
  <c r="E69" i="11"/>
  <c r="F63" i="11"/>
  <c r="F79" i="11"/>
  <c r="G24" i="11"/>
  <c r="Y24" i="6"/>
  <c r="X25" i="6"/>
  <c r="Y19" i="6"/>
  <c r="X20" i="6"/>
  <c r="Z29" i="6"/>
  <c r="Y30" i="6"/>
  <c r="Z14" i="6"/>
  <c r="Y15" i="6"/>
  <c r="D25" i="11" l="1"/>
  <c r="E80" i="11" s="1"/>
  <c r="F80" i="11" s="1"/>
  <c r="D45" i="9"/>
  <c r="G45" i="9" s="1"/>
  <c r="G46" i="9" s="1"/>
  <c r="G3" i="10"/>
  <c r="G6" i="10" s="1"/>
  <c r="D52" i="11"/>
  <c r="E66" i="11" s="1"/>
  <c r="H52" i="11"/>
  <c r="F64" i="11"/>
  <c r="F65" i="11" s="1"/>
  <c r="F35" i="11"/>
  <c r="D36" i="11"/>
  <c r="G25" i="11"/>
  <c r="G26" i="11" s="1"/>
  <c r="Z19" i="6"/>
  <c r="Y20" i="6"/>
  <c r="Z24" i="6"/>
  <c r="Y25" i="6"/>
  <c r="AA29" i="6"/>
  <c r="Z30" i="6"/>
  <c r="AA14" i="6"/>
  <c r="Z15" i="6"/>
  <c r="F53" i="11" l="1"/>
  <c r="F54" i="11" s="1"/>
  <c r="D38" i="11"/>
  <c r="F66" i="11"/>
  <c r="E36" i="11"/>
  <c r="F36" i="11" s="1"/>
  <c r="E91" i="11"/>
  <c r="F91" i="11" s="1"/>
  <c r="AA24" i="6"/>
  <c r="Z25" i="6"/>
  <c r="AA19" i="6"/>
  <c r="Z20" i="6"/>
  <c r="AB29" i="6"/>
  <c r="AA30" i="6"/>
  <c r="AB14" i="6"/>
  <c r="AA15" i="6"/>
  <c r="F55" i="11" l="1"/>
  <c r="D53" i="11"/>
  <c r="D55" i="11" s="1"/>
  <c r="H53" i="11"/>
  <c r="H55" i="11" s="1"/>
  <c r="AB19" i="6"/>
  <c r="AA20" i="6"/>
  <c r="AB24" i="6"/>
  <c r="AA25" i="6"/>
  <c r="AC29" i="6"/>
  <c r="AB30" i="6"/>
  <c r="AC14" i="6"/>
  <c r="AB15" i="6"/>
  <c r="D54" i="11" l="1"/>
  <c r="E67" i="11"/>
  <c r="F67" i="11" s="1"/>
  <c r="H54" i="11"/>
  <c r="E92" i="11"/>
  <c r="F92" i="11" s="1"/>
  <c r="AC24" i="6"/>
  <c r="AB25" i="6"/>
  <c r="AC19" i="6"/>
  <c r="AB20" i="6"/>
  <c r="AD29" i="6"/>
  <c r="AC30" i="6"/>
  <c r="AD14" i="6"/>
  <c r="AC15" i="6"/>
  <c r="D12" i="10" l="1"/>
  <c r="D13" i="10" s="1"/>
  <c r="AD19" i="6"/>
  <c r="AC20" i="6"/>
  <c r="AD24" i="6"/>
  <c r="AC25" i="6"/>
  <c r="AE29" i="6"/>
  <c r="AD30" i="6"/>
  <c r="AE14" i="6"/>
  <c r="AD15" i="6"/>
  <c r="D15" i="10" l="1"/>
  <c r="D42" i="10" s="1"/>
  <c r="AE24" i="6"/>
  <c r="AD25" i="6"/>
  <c r="AE19" i="6"/>
  <c r="AD20" i="6"/>
  <c r="AF29" i="6"/>
  <c r="AE30" i="6"/>
  <c r="AF14" i="6"/>
  <c r="AE15" i="6"/>
  <c r="AF19" i="6" l="1"/>
  <c r="AE20" i="6"/>
  <c r="AF24" i="6"/>
  <c r="AE25" i="6"/>
  <c r="AG29" i="6"/>
  <c r="AF30" i="6"/>
  <c r="AG14" i="6"/>
  <c r="AF15" i="6"/>
  <c r="AG24" i="6" l="1"/>
  <c r="AF25" i="6"/>
  <c r="AG19" i="6"/>
  <c r="AF20" i="6"/>
  <c r="AH29" i="6"/>
  <c r="AG30" i="6"/>
  <c r="AH14" i="6"/>
  <c r="AG15" i="6"/>
  <c r="AH19" i="6" l="1"/>
  <c r="AG20" i="6"/>
  <c r="AH24" i="6"/>
  <c r="AG25" i="6"/>
  <c r="AI29" i="6"/>
  <c r="AH30" i="6"/>
  <c r="AI14" i="6"/>
  <c r="AH15" i="6"/>
  <c r="AI24" i="6" l="1"/>
  <c r="AH25" i="6"/>
  <c r="AI19" i="6"/>
  <c r="AH20" i="6"/>
  <c r="AJ29" i="6"/>
  <c r="AI30" i="6"/>
  <c r="AJ14" i="6"/>
  <c r="AI15" i="6"/>
  <c r="AJ19" i="6" l="1"/>
  <c r="AI20" i="6"/>
  <c r="AJ24" i="6"/>
  <c r="AI25" i="6"/>
  <c r="AK29" i="6"/>
  <c r="AJ30" i="6"/>
  <c r="AK14" i="6"/>
  <c r="AJ15" i="6"/>
  <c r="AK24" i="6" l="1"/>
  <c r="AJ25" i="6"/>
  <c r="AK19" i="6"/>
  <c r="AJ20" i="6"/>
  <c r="AL29" i="6"/>
  <c r="AK30" i="6"/>
  <c r="AL14" i="6"/>
  <c r="AK15" i="6"/>
  <c r="AL19" i="6" l="1"/>
  <c r="AK20" i="6"/>
  <c r="AL24" i="6"/>
  <c r="AK25" i="6"/>
  <c r="AM29" i="6"/>
  <c r="AL30" i="6"/>
  <c r="AM14" i="6"/>
  <c r="AL15" i="6"/>
  <c r="AM24" i="6" l="1"/>
  <c r="AL25" i="6"/>
  <c r="AM19" i="6"/>
  <c r="AL20" i="6"/>
  <c r="AN29" i="6"/>
  <c r="AM30" i="6"/>
  <c r="AN14" i="6"/>
  <c r="AM15" i="6"/>
  <c r="AN19" i="6" l="1"/>
  <c r="AM20" i="6"/>
  <c r="AN24" i="6"/>
  <c r="AM25" i="6"/>
  <c r="AO29" i="6"/>
  <c r="AN30" i="6"/>
  <c r="AO14" i="6"/>
  <c r="AN15" i="6"/>
  <c r="AO19" i="6" l="1"/>
  <c r="AN20" i="6"/>
  <c r="AO24" i="6"/>
  <c r="AN25" i="6"/>
  <c r="AP29" i="6"/>
  <c r="AO30" i="6"/>
  <c r="AP14" i="6"/>
  <c r="AO15" i="6"/>
  <c r="E12" i="10" l="1"/>
  <c r="E13" i="10" s="1"/>
  <c r="AP24" i="6"/>
  <c r="AO25" i="6"/>
  <c r="AP19" i="6"/>
  <c r="AO20" i="6"/>
  <c r="AQ29" i="6"/>
  <c r="AP30" i="6"/>
  <c r="AQ14" i="6"/>
  <c r="AP15" i="6"/>
  <c r="E15" i="10" l="1"/>
  <c r="E42" i="10" s="1"/>
  <c r="AQ19" i="6"/>
  <c r="AP20" i="6"/>
  <c r="AQ24" i="6"/>
  <c r="AP25" i="6"/>
  <c r="AR29" i="6"/>
  <c r="AQ30" i="6"/>
  <c r="AR14" i="6"/>
  <c r="AQ15" i="6"/>
  <c r="AR24" i="6" l="1"/>
  <c r="AQ25" i="6"/>
  <c r="AR19" i="6"/>
  <c r="AQ20" i="6"/>
  <c r="AS29" i="6"/>
  <c r="AR30" i="6"/>
  <c r="AS14" i="6"/>
  <c r="AR15" i="6"/>
  <c r="AS19" i="6" l="1"/>
  <c r="AR20" i="6"/>
  <c r="AS24" i="6"/>
  <c r="AR25" i="6"/>
  <c r="AT29" i="6"/>
  <c r="AS30" i="6"/>
  <c r="AT14" i="6"/>
  <c r="AS15" i="6"/>
  <c r="AT24" i="6" l="1"/>
  <c r="AS25" i="6"/>
  <c r="AT19" i="6"/>
  <c r="AS20" i="6"/>
  <c r="AU29" i="6"/>
  <c r="AT30" i="6"/>
  <c r="AU14" i="6"/>
  <c r="AT15" i="6"/>
  <c r="AU19" i="6" l="1"/>
  <c r="AT20" i="6"/>
  <c r="AU24" i="6"/>
  <c r="AT25" i="6"/>
  <c r="AV29" i="6"/>
  <c r="AU30" i="6"/>
  <c r="AV14" i="6"/>
  <c r="AU15" i="6"/>
  <c r="AV24" i="6" l="1"/>
  <c r="AU25" i="6"/>
  <c r="AV19" i="6"/>
  <c r="AU20" i="6"/>
  <c r="AW29" i="6"/>
  <c r="AV30" i="6"/>
  <c r="AW14" i="6"/>
  <c r="AV15" i="6"/>
  <c r="AW19" i="6" l="1"/>
  <c r="AV20" i="6"/>
  <c r="AW24" i="6"/>
  <c r="AV25" i="6"/>
  <c r="AX29" i="6"/>
  <c r="AW30" i="6"/>
  <c r="AX14" i="6"/>
  <c r="AW15" i="6"/>
  <c r="AX24" i="6" l="1"/>
  <c r="AW25" i="6"/>
  <c r="AX19" i="6"/>
  <c r="AW20" i="6"/>
  <c r="AY29" i="6"/>
  <c r="AX30" i="6"/>
  <c r="AY14" i="6"/>
  <c r="AX15" i="6"/>
  <c r="AY19" i="6" l="1"/>
  <c r="AX20" i="6"/>
  <c r="AY24" i="6"/>
  <c r="AX25" i="6"/>
  <c r="AZ29" i="6"/>
  <c r="AY30" i="6"/>
  <c r="AZ14" i="6"/>
  <c r="AY15" i="6"/>
  <c r="AZ24" i="6" l="1"/>
  <c r="AY25" i="6"/>
  <c r="AZ19" i="6"/>
  <c r="AY20" i="6"/>
  <c r="BA29" i="6"/>
  <c r="AZ30" i="6"/>
  <c r="BA14" i="6"/>
  <c r="AZ15" i="6"/>
  <c r="BA19" i="6" l="1"/>
  <c r="AZ20" i="6"/>
  <c r="BA24" i="6"/>
  <c r="AZ25" i="6"/>
  <c r="BB29" i="6"/>
  <c r="BA30" i="6"/>
  <c r="BB14" i="6"/>
  <c r="BA15" i="6"/>
  <c r="F12" i="10" l="1"/>
  <c r="F13" i="10" s="1"/>
  <c r="BB24" i="6"/>
  <c r="BA25" i="6"/>
  <c r="BB19" i="6"/>
  <c r="BA20" i="6"/>
  <c r="BC29" i="6"/>
  <c r="BB30" i="6"/>
  <c r="BC14" i="6"/>
  <c r="BB15" i="6"/>
  <c r="F15" i="10" l="1"/>
  <c r="F42" i="10" s="1"/>
  <c r="BC19" i="6"/>
  <c r="BB20" i="6"/>
  <c r="BC24" i="6"/>
  <c r="BB25" i="6"/>
  <c r="BD29" i="6"/>
  <c r="BC30" i="6"/>
  <c r="BD14" i="6"/>
  <c r="BC15" i="6"/>
  <c r="BD24" i="6" l="1"/>
  <c r="BC25" i="6"/>
  <c r="BD19" i="6"/>
  <c r="BC20" i="6"/>
  <c r="BE29" i="6"/>
  <c r="BD30" i="6"/>
  <c r="BE14" i="6"/>
  <c r="BD15" i="6"/>
  <c r="BE19" i="6" l="1"/>
  <c r="BD20" i="6"/>
  <c r="BE24" i="6"/>
  <c r="BD25" i="6"/>
  <c r="BF29" i="6"/>
  <c r="BE30" i="6"/>
  <c r="BF14" i="6"/>
  <c r="BE15" i="6"/>
  <c r="BF24" i="6" l="1"/>
  <c r="BE25" i="6"/>
  <c r="BF19" i="6"/>
  <c r="BE20" i="6"/>
  <c r="BG29" i="6"/>
  <c r="BF30" i="6"/>
  <c r="BG14" i="6"/>
  <c r="BF15" i="6"/>
  <c r="BG19" i="6" l="1"/>
  <c r="BF20" i="6"/>
  <c r="BG24" i="6"/>
  <c r="BF25" i="6"/>
  <c r="BH29" i="6"/>
  <c r="BG30" i="6"/>
  <c r="BH14" i="6"/>
  <c r="BG15" i="6"/>
  <c r="BH24" i="6" l="1"/>
  <c r="BG25" i="6"/>
  <c r="BH19" i="6"/>
  <c r="BG20" i="6"/>
  <c r="BI29" i="6"/>
  <c r="BH30" i="6"/>
  <c r="BI14" i="6"/>
  <c r="BH15" i="6"/>
  <c r="BI19" i="6" l="1"/>
  <c r="BH20" i="6"/>
  <c r="BI24" i="6"/>
  <c r="BH25" i="6"/>
  <c r="BJ29" i="6"/>
  <c r="BI30" i="6"/>
  <c r="BJ14" i="6"/>
  <c r="BI15" i="6"/>
  <c r="BJ24" i="6" l="1"/>
  <c r="BI25" i="6"/>
  <c r="BJ19" i="6"/>
  <c r="BI20" i="6"/>
  <c r="BK29" i="6"/>
  <c r="BJ30" i="6"/>
  <c r="BK14" i="6"/>
  <c r="BJ15" i="6"/>
  <c r="BK19" i="6" l="1"/>
  <c r="BJ20" i="6"/>
  <c r="BK24" i="6"/>
  <c r="BJ25" i="6"/>
  <c r="BL29" i="6"/>
  <c r="BK30" i="6"/>
  <c r="BL14" i="6"/>
  <c r="BK15" i="6"/>
  <c r="BL24" i="6" l="1"/>
  <c r="BK25" i="6"/>
  <c r="BL19" i="6"/>
  <c r="BK20" i="6"/>
  <c r="BM29" i="6"/>
  <c r="BM30" i="6" s="1"/>
  <c r="BL30" i="6"/>
  <c r="BM14" i="6"/>
  <c r="BL15" i="6"/>
  <c r="BM15" i="6" l="1"/>
  <c r="BM19" i="6"/>
  <c r="BM20" i="6" s="1"/>
  <c r="BL20" i="6"/>
  <c r="BM24" i="6"/>
  <c r="BM25" i="6" s="1"/>
  <c r="BL25" i="6"/>
  <c r="G12" i="10" l="1"/>
  <c r="G13" i="10" s="1"/>
  <c r="G15" i="10" l="1"/>
  <c r="G42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tc={189AFF7B-063D-4149-A5D3-D2EC4815F45A}</author>
  </authors>
  <commentList>
    <comment ref="E87" authorId="0" shapeId="0" xr:uid="{189AFF7B-063D-4149-A5D3-D2EC4815F45A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Los $35,000 adicionales al precio de la caja promedio de los dos productos con dos sabores se establecen para cubrir los gastos de arriendo y el costo de un mesero. El arriendo mensual es de $4,500,000, y el costo de un mesero es de aproximadamente $2,132,900, lo que suma un total de $6,632,900. Dado que se realizan en promedio 199 servicios por mes, el valor adicional de $35,000 por servicio generaría $6,965,000, cubriendo así estos dos gastos.</t>
      </text>
    </comment>
  </commentList>
</comments>
</file>

<file path=xl/sharedStrings.xml><?xml version="1.0" encoding="utf-8"?>
<sst xmlns="http://schemas.openxmlformats.org/spreadsheetml/2006/main" count="804" uniqueCount="401">
  <si>
    <t>Insumo</t>
  </si>
  <si>
    <t>Cantidad</t>
  </si>
  <si>
    <t>Costo</t>
  </si>
  <si>
    <t>Unidad</t>
  </si>
  <si>
    <t>Huevos</t>
  </si>
  <si>
    <t>Banano</t>
  </si>
  <si>
    <t>TOTAL MP 2024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</si>
  <si>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</si>
  <si>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</si>
  <si>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</si>
  <si>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</si>
  <si>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</si>
  <si>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</si>
  <si>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</si>
  <si>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</si>
  <si>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</si>
  <si>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</si>
  <si>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</si>
  <si>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</si>
  <si>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</si>
  <si>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Precio</t>
  </si>
  <si>
    <t>Cantidades</t>
  </si>
  <si>
    <t>Ingresos</t>
  </si>
  <si>
    <t>Proyección de ventas 2024 - Mini Brownies</t>
  </si>
  <si>
    <t>Precio 2024</t>
  </si>
  <si>
    <t>Ítem</t>
  </si>
  <si>
    <t>MP</t>
  </si>
  <si>
    <t>Proyección de ventas 2024 - Pizza Brownie</t>
  </si>
  <si>
    <t>Proyección de precios a 5 años</t>
  </si>
  <si>
    <t>Proyeccion de pronóstico de ventas</t>
  </si>
  <si>
    <t>Cocoa</t>
  </si>
  <si>
    <t>Harina de avena</t>
  </si>
  <si>
    <t>Polvo royal</t>
  </si>
  <si>
    <t>Miel</t>
  </si>
  <si>
    <t>Aceite</t>
  </si>
  <si>
    <t>Proyección de ventas</t>
  </si>
  <si>
    <t>Proyección de MP</t>
  </si>
  <si>
    <t>SERVICIO</t>
  </si>
  <si>
    <t>Salsas</t>
  </si>
  <si>
    <t>Toppings</t>
  </si>
  <si>
    <t>Mano de obra</t>
  </si>
  <si>
    <t>Cargo</t>
  </si>
  <si>
    <t>Salario mensual</t>
  </si>
  <si>
    <t>Salario mensual con prestaciones</t>
  </si>
  <si>
    <t>CEO</t>
  </si>
  <si>
    <t>Restaurante</t>
  </si>
  <si>
    <t>Mesero</t>
  </si>
  <si>
    <t>Marketing y ventas</t>
  </si>
  <si>
    <t>Finanzas</t>
  </si>
  <si>
    <t>Contador</t>
  </si>
  <si>
    <t>Cocina</t>
  </si>
  <si>
    <t>Auxiliar de cocina</t>
  </si>
  <si>
    <t>Chef</t>
  </si>
  <si>
    <t>Community manager</t>
  </si>
  <si>
    <t>Área de administración</t>
  </si>
  <si>
    <t>Área de ventas</t>
  </si>
  <si>
    <t>Área de producción</t>
  </si>
  <si>
    <t>Departamento</t>
  </si>
  <si>
    <t>% Área (Administración, ventas y producción)</t>
  </si>
  <si>
    <t>100%P</t>
  </si>
  <si>
    <t>100%A</t>
  </si>
  <si>
    <t>100%V</t>
  </si>
  <si>
    <t>gr</t>
  </si>
  <si>
    <t>70%V, 30%A</t>
  </si>
  <si>
    <t>Comunnity manager</t>
  </si>
  <si>
    <t>Comunnity Manager</t>
  </si>
  <si>
    <t>Salario anual</t>
  </si>
  <si>
    <t>INVERSIONES FIJAS</t>
  </si>
  <si>
    <t>Construcción</t>
  </si>
  <si>
    <t>Equipos de cómputo</t>
  </si>
  <si>
    <t>Maquinaria y equipo</t>
  </si>
  <si>
    <t>Muebles y enseres</t>
  </si>
  <si>
    <t>% Participación A</t>
  </si>
  <si>
    <t>% Participación V</t>
  </si>
  <si>
    <t>% Participación P</t>
  </si>
  <si>
    <t>Cajas</t>
  </si>
  <si>
    <t>Tarjetas</t>
  </si>
  <si>
    <t xml:space="preserve">Papel </t>
  </si>
  <si>
    <t>Huevos triple A</t>
  </si>
  <si>
    <t>-</t>
  </si>
  <si>
    <t>ml</t>
  </si>
  <si>
    <t>Esencia de vainilla</t>
  </si>
  <si>
    <t>Aceite de coco</t>
  </si>
  <si>
    <t>Bebida de almendras</t>
  </si>
  <si>
    <t>Chocolate sin azucar</t>
  </si>
  <si>
    <t>Stevia</t>
  </si>
  <si>
    <t>Mantequilla light</t>
  </si>
  <si>
    <t>Tiendas ara</t>
  </si>
  <si>
    <t>D1</t>
  </si>
  <si>
    <t>Mantequilla ligth</t>
  </si>
  <si>
    <t>Tienda seleccionada</t>
  </si>
  <si>
    <t>Área de cocina</t>
  </si>
  <si>
    <t>Área de restaurante</t>
  </si>
  <si>
    <t>Área administrativa</t>
  </si>
  <si>
    <t>Computador (3)</t>
  </si>
  <si>
    <t>Total</t>
  </si>
  <si>
    <t>%Participación</t>
  </si>
  <si>
    <t>CAPITAL DE TRABAJO</t>
  </si>
  <si>
    <t>Total de costo del producto</t>
  </si>
  <si>
    <t>MOD</t>
  </si>
  <si>
    <t>CIF</t>
  </si>
  <si>
    <t>Gastos administración y ventas</t>
  </si>
  <si>
    <t>Gastos financieros</t>
  </si>
  <si>
    <t>Gravamen 4x1000</t>
  </si>
  <si>
    <t>Depreciaciones y amortizaciones</t>
  </si>
  <si>
    <t>Gastos de administración (GA)</t>
  </si>
  <si>
    <t>Gastos de ventas (GV)</t>
  </si>
  <si>
    <t>Costos indirectos de fabricación (CIFs)</t>
  </si>
  <si>
    <t>Gastos de administración</t>
  </si>
  <si>
    <t>Gastos de administración, de ventas y costos indirectos de fabricación</t>
  </si>
  <si>
    <t>Gastos de ventas</t>
  </si>
  <si>
    <t>Servicios públicos</t>
  </si>
  <si>
    <t>Agua</t>
  </si>
  <si>
    <t>Gas</t>
  </si>
  <si>
    <t>Internet</t>
  </si>
  <si>
    <t>Luz</t>
  </si>
  <si>
    <t>Capacillas</t>
  </si>
  <si>
    <t>Publicidad</t>
  </si>
  <si>
    <t>Instalación de servicios públicos</t>
  </si>
  <si>
    <t>Instalación de sistema de seguridad</t>
  </si>
  <si>
    <t>Instalación de sistema de sonido</t>
  </si>
  <si>
    <t>Tablas nutricionales</t>
  </si>
  <si>
    <t>Equipos de computo</t>
  </si>
  <si>
    <t>DEPRECIACIONES</t>
  </si>
  <si>
    <t>meses</t>
  </si>
  <si>
    <t>Depreciación del periodo</t>
  </si>
  <si>
    <t>años</t>
  </si>
  <si>
    <t>Depreciación acumulada</t>
  </si>
  <si>
    <t>Maquinaria y equipo neto</t>
  </si>
  <si>
    <t>Construcción neto</t>
  </si>
  <si>
    <t>Equipo neto</t>
  </si>
  <si>
    <t>Muebles y enseres neto</t>
  </si>
  <si>
    <t>COSTOS INDIRECTOS DE FABRICACIÓN CIF</t>
  </si>
  <si>
    <t>% Participación</t>
  </si>
  <si>
    <t>Total de servicios públicos</t>
  </si>
  <si>
    <t>MATERIALES INDIRECTOS</t>
  </si>
  <si>
    <t>GASTOS VARIOS</t>
  </si>
  <si>
    <t>MANO DE OBRA INDIRECTA</t>
  </si>
  <si>
    <t>GASTOS DE ADMINISTRACIÓN</t>
  </si>
  <si>
    <t>MANO DE OBRA ADMINISTRACIÓN</t>
  </si>
  <si>
    <t>GASTOS DE VENTAS</t>
  </si>
  <si>
    <t>MANO DE OBRA VENTAS</t>
  </si>
  <si>
    <t>TOTAL GA</t>
  </si>
  <si>
    <t>TOTAL CIFs</t>
  </si>
  <si>
    <t>TOTAL GV</t>
  </si>
  <si>
    <t>SIMULACIÓN EN APLICACIÓN DE BANCOLOMBIA</t>
  </si>
  <si>
    <t>TOTAL PRÉSTAMO</t>
  </si>
  <si>
    <t>TIEMPO</t>
  </si>
  <si>
    <t>Meses</t>
  </si>
  <si>
    <t>TASA MENSUAL</t>
  </si>
  <si>
    <t>Mensual</t>
  </si>
  <si>
    <t>CUOTAS</t>
  </si>
  <si>
    <t>CUOTA</t>
  </si>
  <si>
    <t>PAGO</t>
  </si>
  <si>
    <t>INTERESES</t>
  </si>
  <si>
    <t>ABONO A CAPITAL</t>
  </si>
  <si>
    <t>SALDO</t>
  </si>
  <si>
    <t>AÑO</t>
  </si>
  <si>
    <t>PAGOS</t>
  </si>
  <si>
    <t>Nevera (1)</t>
  </si>
  <si>
    <t>Sartenes y ollas</t>
  </si>
  <si>
    <t>Vajillas</t>
  </si>
  <si>
    <t>Uniformes</t>
  </si>
  <si>
    <t>Estado de resultados</t>
  </si>
  <si>
    <t xml:space="preserve">Ventas </t>
  </si>
  <si>
    <t>Materia prima</t>
  </si>
  <si>
    <t>Utilidad bruta</t>
  </si>
  <si>
    <t>Gastos ventas</t>
  </si>
  <si>
    <t>Utilidad operativa</t>
  </si>
  <si>
    <t>Gravamen 4 x1000</t>
  </si>
  <si>
    <t>Utilidad antes de impuestos</t>
  </si>
  <si>
    <t>Impuestos</t>
  </si>
  <si>
    <t>UTILIDAD NETA</t>
  </si>
  <si>
    <t>Estufa(1)</t>
  </si>
  <si>
    <t>Horno microondas(1)</t>
  </si>
  <si>
    <t>Moldes</t>
  </si>
  <si>
    <t>Caja registradora(1)</t>
  </si>
  <si>
    <t>Datafono</t>
  </si>
  <si>
    <t>Cubiertos</t>
  </si>
  <si>
    <t>Portátil Lenovo Amd Ryzen 3 8GB 512GB Ideapad Slim 3 14" Azul - Homecenter.com.co</t>
  </si>
  <si>
    <t>Tablet Lenovo Tab M11 4G LTE 8GB 128GB Gris + Pen - Homecenter.com.co</t>
  </si>
  <si>
    <t>Impresora Epson L3210 - Homecenter.com.co</t>
  </si>
  <si>
    <t>Impresora (1)</t>
  </si>
  <si>
    <t>Xiaomi Redmi Note 13 Negro 256gb - Homecenter.com.co</t>
  </si>
  <si>
    <t>Cámara semi profesional (1)</t>
  </si>
  <si>
    <t>Cámara de seguridad (2)</t>
  </si>
  <si>
    <t>Kit 2 Camaras Inteligentes Con Movimiento 2k Planet Iii Vta+ - Homecenter.com.co</t>
  </si>
  <si>
    <t>Barra De Sonido Bluetooth 60W - Sb60 - Homecenter.com.co</t>
  </si>
  <si>
    <t>Batidora De Pedestal Artisan 10 velocidades 4.7 Lt 325 Watts - Homecenter.com.co</t>
  </si>
  <si>
    <t>Mesón metálico</t>
  </si>
  <si>
    <t>Licuadora (1)</t>
  </si>
  <si>
    <t>Cafetera 12 Tazas Switch Negro 2183235 - Homecenter.com.co</t>
  </si>
  <si>
    <t>Estufa a Gas Esmaltada con Encendido 60 cm CG4PSNEE N - Homecenter.com.co</t>
  </si>
  <si>
    <t>Horno Microondas 0.7PC 120 V WM1807D Silver - Homecenter.com.co</t>
  </si>
  <si>
    <t>Licuadora 2.2 Lts 10 Velocidades InfinyforceXL Negro - Homecenter.com.co</t>
  </si>
  <si>
    <t>Estantería bricol metálica gris de 180x90x40 cm - Homecenter.com.co</t>
  </si>
  <si>
    <t>Mesas y sillas (4)</t>
  </si>
  <si>
    <t>Comedor Exterior Plástico Infinity 4 Puestos Sillas sin Brazos Wengue - Homecenter.com.co</t>
  </si>
  <si>
    <t>Sillas de meson (4)</t>
  </si>
  <si>
    <t>Setx2 Silla Bar Milyi 40X42X75 Gris - Homecenter.com.co</t>
  </si>
  <si>
    <t>Ventiladores (2)</t>
  </si>
  <si>
    <t>Moldes para Horno de Cocina - Homecenter.com.co</t>
  </si>
  <si>
    <t>Ventilador de Torre 3 Velocidades Sin Control Eole Negro - Homecenter.com.co</t>
  </si>
  <si>
    <t>Alta dirección</t>
  </si>
  <si>
    <t>Proveedor</t>
  </si>
  <si>
    <t>Universo</t>
  </si>
  <si>
    <t>Creative team</t>
  </si>
  <si>
    <t>Insupan</t>
  </si>
  <si>
    <t>=</t>
  </si>
  <si>
    <t>Usuarios al año</t>
  </si>
  <si>
    <t>Proyección de ventas 2024 - Servicio</t>
  </si>
  <si>
    <t>Costos</t>
  </si>
  <si>
    <t>Usuario mensual</t>
  </si>
  <si>
    <t xml:space="preserve">https://www.mercadolibre.com.co/combo-pos-impresora-58mm-cajon-monedero-lector-cod-barras-110v220v/p/MCO27875082#searchVariation=MCO27875082&amp;position=8&amp;search_layout=grid&amp;type=product&amp;tracking_id=86ba6a13-d50d-4771-94a0-36233f9fe962 </t>
  </si>
  <si>
    <t xml:space="preserve">https://datafonos.bold.co/ld-promo-tarifa-junio/?utm_source=google&amp;utm_medium=paid_ads&amp;utm_campaign=lower_conversiones_branded-kw_multiproducto_sem&amp;utm_term=branded_keywords&amp;marketing_source=google&amp;nbt=nb%3Aadwords%3Ag%3A16978979198%3A135739526836%3A691212360380&amp;nb_adtype=&amp;nb_kwd=comprar%20datafono&amp;nb_ti=kwd-297955683009&amp;nb_mi=&amp;nb_pc=&amp;nb_pi=&amp;nb_ppi=&amp;nb_placement=&amp;nb_li_ms=&amp;nb_lp_ms=&amp;nb_fii=&amp;nb_ap=&amp;nb_mt=b&amp;nbt=nb%3Aadwords%3Ag%3A16978979198%3A135739526836%3A691212360380&amp;nb_adtype=&amp;nb_kwd=comprar%20datafono&amp;nb_ti=kwd-297955683009&amp;nb_mi=&amp;nb_pc=&amp;nb_pi=&amp;nb_ppi=&amp;nb_placement=&amp;nb_li_ms=&amp;nb_lp_ms=&amp;nb_fii=&amp;nb_ap=&amp;nb_mt=b&amp;utm_source=google&amp;utm_medium=paid_ads&amp;utm_campaign=Lower_conversiones_abierta_multiproducto_SEM_generica&amp;utm_content=adquirir_datafono&amp;creative=691212360380&amp;device=c&amp;placement=&amp;gad_source=1&amp;gclid=CjwKCAjwm_SzBhAsEiwAXE2Cv1X-cT0aPXQSpSoSFdao2f-CY5_NixEEygjF2vhWowK5B5XVN_dHTBoCYPQQAvD_BwE </t>
  </si>
  <si>
    <t xml:space="preserve">Año </t>
  </si>
  <si>
    <t>Año</t>
  </si>
  <si>
    <t>Ingresos operacionales</t>
  </si>
  <si>
    <t>Total de Ingresos Operacionales</t>
  </si>
  <si>
    <t>Pagos de Costos</t>
  </si>
  <si>
    <t>Pago de Materia Prima</t>
  </si>
  <si>
    <t>Pago de Mano de Obra Directa</t>
  </si>
  <si>
    <t>Pago Costos Indirectos de Fabricación</t>
  </si>
  <si>
    <t>Depreciaciones</t>
  </si>
  <si>
    <t>Total Pagos de Costos Operacionales</t>
  </si>
  <si>
    <t>FLUJO DE CAJA OPERACIONAL BRUTO</t>
  </si>
  <si>
    <t>Pagos de Gastos</t>
  </si>
  <si>
    <t>Pago de Gastos de Administración y ventas</t>
  </si>
  <si>
    <t>Pago de Impuestos</t>
  </si>
  <si>
    <t>Total Pago de Gastos Operacionales</t>
  </si>
  <si>
    <t>FLUJO DE CAJA OPERACIONAL NETO</t>
  </si>
  <si>
    <t>Inversiones</t>
  </si>
  <si>
    <t>Inversión Fija</t>
  </si>
  <si>
    <t>Inversión en Capital de Trabajo (1 mes)</t>
  </si>
  <si>
    <t>Total de Inversiones</t>
  </si>
  <si>
    <t>FLUJO DE CAJA LIBRE</t>
  </si>
  <si>
    <t>Financiación</t>
  </si>
  <si>
    <t>Aportes de  los socios</t>
  </si>
  <si>
    <t>Crédito Financiero</t>
  </si>
  <si>
    <t>Total Ingresos de Financiación</t>
  </si>
  <si>
    <t>Abonos a capital</t>
  </si>
  <si>
    <t>Pago de Intereses</t>
  </si>
  <si>
    <t>Pago de Utilidades</t>
  </si>
  <si>
    <t>Total Egresos de Financiación</t>
  </si>
  <si>
    <t>FLUJO DE CAJA DE FINANCIACIÓN</t>
  </si>
  <si>
    <t>FLUJO NETO DE CAJA</t>
  </si>
  <si>
    <t>Flujo de caja del período</t>
  </si>
  <si>
    <t xml:space="preserve">Saldo anterior de Caja y Bancos </t>
  </si>
  <si>
    <t>SALDO FINAL DE CAJA Y BANCOS</t>
  </si>
  <si>
    <t>ACTIVOS</t>
  </si>
  <si>
    <t>Caja</t>
  </si>
  <si>
    <t>Inventarios</t>
  </si>
  <si>
    <t>Provisión de cartera</t>
  </si>
  <si>
    <t>TOTAL DE ACTIVOS CORRIENTES</t>
  </si>
  <si>
    <t>Edificio (Construcción)</t>
  </si>
  <si>
    <t>TOTAL DE ACTIVOS FIJOS</t>
  </si>
  <si>
    <t>TOTAL DE ACTIVOS</t>
  </si>
  <si>
    <t>PASIVOS</t>
  </si>
  <si>
    <t>Proveedores</t>
  </si>
  <si>
    <t>Impuestos por pagar</t>
  </si>
  <si>
    <t>Deudas a CP</t>
  </si>
  <si>
    <t>TOTAL PASIVOS CORRIENTES</t>
  </si>
  <si>
    <t>Deudas LP</t>
  </si>
  <si>
    <t>TOTAL PASIVOS NO CORRIENTES</t>
  </si>
  <si>
    <t>TOTAL OTROS PASIVOS</t>
  </si>
  <si>
    <t>TOTAL PASIVOS</t>
  </si>
  <si>
    <t>PATRIMONIO</t>
  </si>
  <si>
    <t>Capital (SOCIOS)</t>
  </si>
  <si>
    <t>Utilidades pasadas</t>
  </si>
  <si>
    <t>Utilidades presente</t>
  </si>
  <si>
    <t>TOTAL PATRIMONIO</t>
  </si>
  <si>
    <t>TOTAL PASIVOS + PATRIMONIO</t>
  </si>
  <si>
    <t>VERIFICACIÓN (ACTIVOS= PASIVOS + PATRIMONIO)</t>
  </si>
  <si>
    <t>Transporte</t>
  </si>
  <si>
    <t>Botiquín</t>
  </si>
  <si>
    <t>Extintor</t>
  </si>
  <si>
    <t>% Servicios públicos de producción</t>
  </si>
  <si>
    <t>Mano de obra indirecta (MOI)</t>
  </si>
  <si>
    <t>Mano de obra directa (MOD)</t>
  </si>
  <si>
    <t>TOTAL ANUAL MOD</t>
  </si>
  <si>
    <t>Inflación febrero 2024</t>
  </si>
  <si>
    <t>Salsas y toppings</t>
  </si>
  <si>
    <t>Arequipe light</t>
  </si>
  <si>
    <t>Chocolate light</t>
  </si>
  <si>
    <t>Mix de frutos secos</t>
  </si>
  <si>
    <t>Harina de almendras</t>
  </si>
  <si>
    <t>Éxito</t>
  </si>
  <si>
    <t>Capacillo</t>
  </si>
  <si>
    <t>% de ganancia Chocofit</t>
  </si>
  <si>
    <t>% de ganancia Chocobanano</t>
  </si>
  <si>
    <t>Valor del servicio</t>
  </si>
  <si>
    <t>https://www.homecenter.com.co/homecenter-co/product/519009/meson-granito-natural-crema-marfil-240-cm-x-62-cm/519009/</t>
  </si>
  <si>
    <t>https://articulo.mercadolibre.com.co/MCO-945782248-vitrina-calentadora-38cm-ancho-3-bandejas-fritos-_JM#position=13&amp;search_layout=grid&amp;type=item&amp;tracking_id=c828e449-ae83-4616-b806-2be29d2a4b8d</t>
  </si>
  <si>
    <t>Utensilios de cocina (2)</t>
  </si>
  <si>
    <t>https://www.homecenter.com.co/homecenter-co/product/345844/set-de-7-utensilios-nylon-con-base-negra/345844/</t>
  </si>
  <si>
    <t>Vitrina (1)</t>
  </si>
  <si>
    <t>Meson (1)</t>
  </si>
  <si>
    <t>Estantería (1)</t>
  </si>
  <si>
    <t>https://www.homecenter.com.co/homecenter-co/product/455376/bateria-10-piezas-happy-antiadherente-gris-talent/455376/</t>
  </si>
  <si>
    <t>Copas y vasos</t>
  </si>
  <si>
    <t>https://www.homecenter.com.co/homecenter-co/product/122980/set-vasos-y-copas-20-piezas/122980/</t>
  </si>
  <si>
    <t>https://www.homecenter.com.co/homecenter-co/product/200898/vajilla-cuadrada-blanca-6-puestos-30-piezas/200898/</t>
  </si>
  <si>
    <t>https://www.homecenter.com.co/homecenter-co/product/477022/juego-de-x24-cubiertos-buzios-clampac/477022/</t>
  </si>
  <si>
    <t>https://www.homecenter.com.co/homecenter-co/product/525344/escritorio-80c-74x80x50-blanco/525344/</t>
  </si>
  <si>
    <t>https://www.homecenter.com.co/homecenter-co/product/345036/silla-escritorio-pc-capricornio/345036/</t>
  </si>
  <si>
    <t>Archivadores (1)</t>
  </si>
  <si>
    <t>https://www.homecenter.com.co/homecenter-co/product/522632/archivador-dali-3-cajones-1025x475x45cm-chantilli/522632/</t>
  </si>
  <si>
    <t>Lamparas (4)</t>
  </si>
  <si>
    <t>https://www.homecenter.com.co/homecenter-co/product/282099/lampara-colgante-rondo-1-luz-e27-20cm-blanco/282099/</t>
  </si>
  <si>
    <t>https://www.homecenter.com.co/homecenter-co/product/142195/tronquito-de-la-felicidad-interior-diametro-40cm/142195/</t>
  </si>
  <si>
    <t>Espejos (2)</t>
  </si>
  <si>
    <t>https://www.homecenter.com.co/homecenter-co/product/606684/espejo-arco-50x100-cm-dorado/606684/</t>
  </si>
  <si>
    <t>Reloj (1)</t>
  </si>
  <si>
    <t>https://www.homecenter.com.co/homecenter-co/product/637568/reloj-de-pared-3d-acrilico-70x70-cm-oro-amsterdam/637568/</t>
  </si>
  <si>
    <t>Escritorio (1)</t>
  </si>
  <si>
    <t>Silla de escritorio (1)</t>
  </si>
  <si>
    <t>70%A, 15%V, 15%P</t>
  </si>
  <si>
    <t>Unidades</t>
  </si>
  <si>
    <t>Costo 1 gr arequipe</t>
  </si>
  <si>
    <t>Costo 1 gr de chocolate</t>
  </si>
  <si>
    <t>Costo promedio 1 gr de salsa</t>
  </si>
  <si>
    <t>Elementos de aseo</t>
  </si>
  <si>
    <t>EPPs</t>
  </si>
  <si>
    <t>Papelería</t>
  </si>
  <si>
    <t>Empaque pizza</t>
  </si>
  <si>
    <t>Empaque 12 mini brownies</t>
  </si>
  <si>
    <t>Costos indirectos de fabricación (CIFs) - Empaques</t>
  </si>
  <si>
    <t>Empaque 12 minis</t>
  </si>
  <si>
    <t>Equipo de sonido (1)</t>
  </si>
  <si>
    <t>https://www.homecenter.com.co/homecenter-co/product/617953/nevecon-side-by-side-inverter-528-lts-black-ersa53k3hvb/617953/</t>
  </si>
  <si>
    <t>https://www.homecenter.com.co/homecenter-co/product/234561/horno-de-empotrar-mixto-595x58cm-negro/234561/</t>
  </si>
  <si>
    <t>Decoración(plantas) (2)</t>
  </si>
  <si>
    <t>https://importacionesarturia.com/producto/canon-eos-r100-mirrorless-con-lente-18-45-mm-memoria-64gb-de-100mbs-bolso/?gad_source=1&amp;gclid=CjwKCAjwp4m0BhBAEiwAsdc4aBQJdIYdF5h262vs_URhrv9W3Is8wvOhd-2C1t35P1xZJf0etzrEnBoC2iQQAvD_BwE</t>
  </si>
  <si>
    <t>https://www.homecenter.com.co/homecenter-co/product/298671/meson-fluens-liso-120x52-cm-con-poceta-derecha-monocontrol-acero-inoxidable/298671/</t>
  </si>
  <si>
    <t>Cálculo tasa de descuento</t>
  </si>
  <si>
    <t>TES a 5 años</t>
  </si>
  <si>
    <t>Anual</t>
  </si>
  <si>
    <t>Ke</t>
  </si>
  <si>
    <t>Participación</t>
  </si>
  <si>
    <t>Tasa del Crédito</t>
  </si>
  <si>
    <t>Aporte socios</t>
  </si>
  <si>
    <t>Beneficio Tributario</t>
  </si>
  <si>
    <t>Préstamo</t>
  </si>
  <si>
    <t>Kd</t>
  </si>
  <si>
    <t>Cálculo del Valor Presente Neto VPN</t>
  </si>
  <si>
    <t>FLUJO ESPERADO</t>
  </si>
  <si>
    <t>TASA DE DESCUENTO</t>
  </si>
  <si>
    <t>FACTOR DE DESCUENTO</t>
  </si>
  <si>
    <t>VALOR ACTUAL</t>
  </si>
  <si>
    <t>VALOR PRESENTE ANUAL</t>
  </si>
  <si>
    <t>Tasa Interna de Retorno TIR</t>
  </si>
  <si>
    <t>Valor Neto</t>
  </si>
  <si>
    <t>Valor Presente</t>
  </si>
  <si>
    <t>Saldo</t>
  </si>
  <si>
    <t>TIR</t>
  </si>
  <si>
    <t>Efectivo Anual</t>
  </si>
  <si>
    <t>Análisis de escenarios</t>
  </si>
  <si>
    <t>Escenarios</t>
  </si>
  <si>
    <t>Pesimista</t>
  </si>
  <si>
    <t>Probable</t>
  </si>
  <si>
    <t>Optimista</t>
  </si>
  <si>
    <t>Tasa de mortalidad</t>
  </si>
  <si>
    <t>Producción total</t>
  </si>
  <si>
    <t>Valor Presente Neto</t>
  </si>
  <si>
    <t xml:space="preserve">Tasa Interna de Retorno </t>
  </si>
  <si>
    <t>MINI BRAUNIS</t>
  </si>
  <si>
    <t>Materia Prima (MP) - 12 Mini Braunis - Chocobanano</t>
  </si>
  <si>
    <t>Materia Prima (MP) - 12 Mini Braunis - Chocofit</t>
  </si>
  <si>
    <t>Materia Prima (MP) - Pizza Braunis - Chocobanano</t>
  </si>
  <si>
    <t>Materia Prima (MP) - Pizza Braunis - Chocofit</t>
  </si>
  <si>
    <t>PIZZA BRAUNIS</t>
  </si>
  <si>
    <t>Horno (2)</t>
  </si>
  <si>
    <t>Mesero (2)</t>
  </si>
  <si>
    <t>Servicios públicos de administración</t>
  </si>
  <si>
    <t>Servicios públicos de ventas</t>
  </si>
  <si>
    <t xml:space="preserve">Crecimiento </t>
  </si>
  <si>
    <t>Seguros</t>
  </si>
  <si>
    <t>Mantenimientos</t>
  </si>
  <si>
    <t>Egresos por Financiación</t>
  </si>
  <si>
    <t>Tablet (2)</t>
  </si>
  <si>
    <t>Celular corporativo (2)</t>
  </si>
  <si>
    <t>Batidora (2)</t>
  </si>
  <si>
    <t>Cafetera (2)</t>
  </si>
  <si>
    <t>PRI</t>
  </si>
  <si>
    <t>Inversión</t>
  </si>
  <si>
    <t>Flujo de caja libre</t>
  </si>
  <si>
    <t>Inversión - Flujo de caja libre</t>
  </si>
  <si>
    <t>PRI Escenario probable</t>
  </si>
  <si>
    <t>PRI Escenario pesimista</t>
  </si>
  <si>
    <t>PRI Escenario optimista</t>
  </si>
  <si>
    <t>Precio Promedio</t>
  </si>
  <si>
    <t>Beta</t>
  </si>
  <si>
    <t>Riesgo del sector(Restaurantes)</t>
  </si>
  <si>
    <t>Tasa de rentabiliad de mercado(Rm)</t>
  </si>
  <si>
    <t>Tasa Libre de Riesgo(Rf)</t>
  </si>
  <si>
    <t xml:space="preserve">Tasa de Descuento </t>
  </si>
  <si>
    <t>Prima de riesgo media</t>
  </si>
  <si>
    <t>VALOR DEL MERCADO</t>
  </si>
  <si>
    <t>ACTIVOS FIJOS</t>
  </si>
  <si>
    <t>Cálculo del Valor del Mercado</t>
  </si>
  <si>
    <t>Arriendo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</si>
</sst>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\ #,##0.00;[Red]\-&quot;$&quot;\ #,##0.00"/>
    <numFmt numFmtId="165" formatCode="_-&quot;$&quot;\ * #,##0.00_-;\-&quot;$&quot;\ * #,##0.00_-;_-&quot;$&quot;\ * &quot;-&quot;??_-;_-@_-"/>
    <numFmt numFmtId="166" formatCode="_-&quot;$&quot;\ * #,##0_-;\-&quot;$&quot;\ * #,##0_-;_-&quot;$&quot;\ * &quot;-&quot;??_-;_-@_-"/>
    <numFmt numFmtId="167" formatCode="_-&quot;$&quot;\ * #,##0.000_-;\-&quot;$&quot;\ * #,##0.000_-;_-&quot;$&quot;\ * &quot;-&quot;??_-;_-@_-"/>
    <numFmt numFmtId="168" formatCode="0.0000"/>
    <numFmt numFmtId="169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name val="Arial Narrow"/>
      <family val="2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3" borderId="0" applyNumberFormat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6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9" fontId="0" fillId="0" borderId="1" xfId="2" applyFont="1" applyBorder="1" applyAlignment="1">
      <alignment horizontal="center"/>
    </xf>
    <xf numFmtId="165" fontId="0" fillId="0" borderId="1" xfId="0" applyNumberFormat="1" applyBorder="1"/>
    <xf numFmtId="9" fontId="0" fillId="0" borderId="1" xfId="2" applyFont="1" applyBorder="1" applyAlignment="1"/>
    <xf numFmtId="165" fontId="0" fillId="0" borderId="1" xfId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9" fontId="0" fillId="0" borderId="14" xfId="2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65" fontId="0" fillId="0" borderId="16" xfId="1" applyFont="1" applyBorder="1" applyAlignment="1"/>
    <xf numFmtId="9" fontId="0" fillId="0" borderId="17" xfId="2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9" fontId="0" fillId="0" borderId="13" xfId="2" applyFont="1" applyBorder="1" applyAlignment="1">
      <alignment horizontal="center"/>
    </xf>
    <xf numFmtId="9" fontId="0" fillId="0" borderId="17" xfId="1" applyNumberFormat="1" applyFont="1" applyBorder="1" applyAlignment="1">
      <alignment horizontal="center"/>
    </xf>
    <xf numFmtId="166" fontId="0" fillId="0" borderId="1" xfId="4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166" fontId="6" fillId="4" borderId="1" xfId="4" applyNumberFormat="1" applyFont="1" applyFill="1" applyBorder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9" fillId="0" borderId="0" xfId="0" applyFont="1"/>
    <xf numFmtId="0" fontId="0" fillId="0" borderId="0" xfId="1" applyNumberFormat="1" applyFont="1"/>
    <xf numFmtId="0" fontId="0" fillId="0" borderId="25" xfId="0" applyBorder="1" applyAlignment="1">
      <alignment horizontal="center"/>
    </xf>
    <xf numFmtId="165" fontId="0" fillId="0" borderId="5" xfId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4" fillId="0" borderId="0" xfId="6"/>
    <xf numFmtId="166" fontId="0" fillId="0" borderId="1" xfId="1" applyNumberFormat="1" applyFont="1" applyBorder="1"/>
    <xf numFmtId="165" fontId="0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5" fontId="0" fillId="0" borderId="0" xfId="1" applyFont="1" applyFill="1"/>
    <xf numFmtId="165" fontId="0" fillId="0" borderId="1" xfId="0" applyNumberFormat="1" applyBorder="1" applyAlignment="1">
      <alignment horizontal="center" vertical="center" wrapText="1"/>
    </xf>
    <xf numFmtId="15" fontId="0" fillId="0" borderId="1" xfId="0" applyNumberFormat="1" applyBorder="1"/>
    <xf numFmtId="0" fontId="0" fillId="0" borderId="1" xfId="0" applyBorder="1" applyAlignment="1">
      <alignment horizontal="left"/>
    </xf>
    <xf numFmtId="166" fontId="0" fillId="0" borderId="1" xfId="0" applyNumberFormat="1" applyBorder="1" applyAlignment="1">
      <alignment horizontal="left" vertical="center" wrapText="1"/>
    </xf>
    <xf numFmtId="9" fontId="0" fillId="0" borderId="1" xfId="5" applyFont="1" applyFill="1" applyBorder="1" applyAlignment="1">
      <alignment horizontal="center" vertical="center" wrapText="1"/>
    </xf>
    <xf numFmtId="165" fontId="6" fillId="0" borderId="1" xfId="3" applyNumberFormat="1" applyFont="1" applyFill="1" applyBorder="1"/>
    <xf numFmtId="165" fontId="0" fillId="0" borderId="0" xfId="1" applyFont="1" applyFill="1" applyBorder="1"/>
    <xf numFmtId="9" fontId="6" fillId="0" borderId="1" xfId="5" applyFont="1" applyFill="1" applyBorder="1" applyAlignment="1">
      <alignment horizontal="center" vertical="center" wrapText="1"/>
    </xf>
    <xf numFmtId="167" fontId="0" fillId="0" borderId="1" xfId="0" applyNumberForma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9" fontId="4" fillId="0" borderId="1" xfId="5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1" applyFont="1" applyFill="1" applyBorder="1" applyAlignment="1">
      <alignment horizontal="center" vertical="center"/>
    </xf>
    <xf numFmtId="0" fontId="6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9" fontId="0" fillId="0" borderId="2" xfId="5" applyFont="1" applyFill="1" applyBorder="1" applyAlignment="1">
      <alignment horizontal="center" vertical="center" wrapText="1"/>
    </xf>
    <xf numFmtId="165" fontId="6" fillId="0" borderId="9" xfId="3" applyNumberFormat="1" applyFont="1" applyFill="1" applyBorder="1"/>
    <xf numFmtId="0" fontId="1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66" fontId="0" fillId="0" borderId="0" xfId="0" applyNumberFormat="1"/>
    <xf numFmtId="166" fontId="0" fillId="0" borderId="1" xfId="1" applyNumberFormat="1" applyFont="1" applyBorder="1" applyAlignment="1">
      <alignment horizontal="center"/>
    </xf>
    <xf numFmtId="166" fontId="0" fillId="0" borderId="1" xfId="0" applyNumberFormat="1" applyBorder="1"/>
    <xf numFmtId="0" fontId="1" fillId="0" borderId="0" xfId="0" applyFont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165" fontId="13" fillId="0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/>
    </xf>
    <xf numFmtId="165" fontId="11" fillId="4" borderId="1" xfId="1" applyFont="1" applyFill="1" applyBorder="1" applyAlignment="1">
      <alignment horizontal="left"/>
    </xf>
    <xf numFmtId="166" fontId="13" fillId="0" borderId="1" xfId="1" applyNumberFormat="1" applyFont="1" applyFill="1" applyBorder="1" applyAlignment="1">
      <alignment horizontal="left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10" fontId="0" fillId="0" borderId="1" xfId="2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165" fontId="10" fillId="2" borderId="1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165" fontId="0" fillId="5" borderId="0" xfId="1" applyFont="1" applyFill="1" applyAlignment="1">
      <alignment horizontal="center" vertical="center"/>
    </xf>
    <xf numFmtId="165" fontId="1" fillId="0" borderId="0" xfId="1" applyFont="1" applyFill="1" applyBorder="1" applyAlignment="1">
      <alignment horizontal="center" vertical="center"/>
    </xf>
    <xf numFmtId="165" fontId="1" fillId="0" borderId="0" xfId="1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165" fontId="0" fillId="0" borderId="0" xfId="1" applyFont="1" applyFill="1" applyBorder="1" applyAlignment="1">
      <alignment horizontal="center" vertical="center"/>
    </xf>
    <xf numFmtId="165" fontId="1" fillId="0" borderId="0" xfId="1" applyFont="1" applyFill="1" applyAlignment="1">
      <alignment horizontal="center" vertical="center"/>
    </xf>
    <xf numFmtId="0" fontId="15" fillId="2" borderId="1" xfId="0" applyFont="1" applyFill="1" applyBorder="1" applyAlignment="1">
      <alignment horizontal="left"/>
    </xf>
    <xf numFmtId="165" fontId="15" fillId="2" borderId="1" xfId="1" applyFont="1" applyFill="1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4" fillId="0" borderId="0" xfId="0" applyFont="1"/>
    <xf numFmtId="0" fontId="15" fillId="6" borderId="1" xfId="0" applyFont="1" applyFill="1" applyBorder="1" applyAlignment="1">
      <alignment horizontal="left"/>
    </xf>
    <xf numFmtId="165" fontId="15" fillId="6" borderId="1" xfId="1" applyFont="1" applyFill="1" applyBorder="1" applyAlignment="1">
      <alignment horizontal="left" vertical="center" wrapText="1"/>
    </xf>
    <xf numFmtId="10" fontId="0" fillId="0" borderId="1" xfId="0" applyNumberFormat="1" applyBorder="1" applyAlignment="1">
      <alignment horizontal="center" vertical="center"/>
    </xf>
    <xf numFmtId="166" fontId="0" fillId="0" borderId="1" xfId="1" applyNumberFormat="1" applyFont="1" applyFill="1" applyBorder="1" applyAlignment="1">
      <alignment horizontal="center" vertical="center"/>
    </xf>
    <xf numFmtId="9" fontId="0" fillId="0" borderId="1" xfId="0" applyNumberFormat="1" applyBorder="1"/>
    <xf numFmtId="166" fontId="0" fillId="0" borderId="1" xfId="0" applyNumberFormat="1" applyBorder="1" applyAlignment="1">
      <alignment horizontal="center"/>
    </xf>
    <xf numFmtId="166" fontId="15" fillId="0" borderId="1" xfId="0" applyNumberFormat="1" applyFont="1" applyBorder="1"/>
    <xf numFmtId="0" fontId="0" fillId="2" borderId="1" xfId="0" applyFill="1" applyBorder="1"/>
    <xf numFmtId="166" fontId="0" fillId="0" borderId="5" xfId="1" applyNumberFormat="1" applyFont="1" applyBorder="1" applyAlignment="1">
      <alignment horizontal="center"/>
    </xf>
    <xf numFmtId="166" fontId="0" fillId="0" borderId="16" xfId="1" applyNumberFormat="1" applyFont="1" applyBorder="1" applyAlignment="1"/>
    <xf numFmtId="166" fontId="6" fillId="0" borderId="1" xfId="3" applyNumberFormat="1" applyFont="1" applyFill="1" applyBorder="1"/>
    <xf numFmtId="166" fontId="0" fillId="0" borderId="1" xfId="1" applyNumberFormat="1" applyFont="1" applyFill="1" applyBorder="1" applyAlignment="1">
      <alignment horizontal="left" vertical="center" wrapText="1"/>
    </xf>
    <xf numFmtId="9" fontId="1" fillId="0" borderId="0" xfId="2" applyFont="1" applyFill="1" applyBorder="1" applyAlignment="1">
      <alignment horizontal="center"/>
    </xf>
    <xf numFmtId="165" fontId="1" fillId="0" borderId="0" xfId="1" applyFont="1" applyFill="1" applyBorder="1" applyAlignment="1">
      <alignment horizontal="center" vertical="center" wrapText="1"/>
    </xf>
    <xf numFmtId="9" fontId="0" fillId="0" borderId="1" xfId="2" applyFont="1" applyFill="1" applyBorder="1" applyAlignment="1">
      <alignment horizontal="center" vertical="center" wrapText="1"/>
    </xf>
    <xf numFmtId="9" fontId="1" fillId="0" borderId="1" xfId="2" applyFont="1" applyFill="1" applyBorder="1" applyAlignment="1">
      <alignment horizontal="center"/>
    </xf>
    <xf numFmtId="0" fontId="6" fillId="0" borderId="1" xfId="0" applyFont="1" applyBorder="1"/>
    <xf numFmtId="10" fontId="10" fillId="0" borderId="1" xfId="5" applyNumberFormat="1" applyFont="1" applyFill="1" applyBorder="1"/>
    <xf numFmtId="10" fontId="1" fillId="0" borderId="1" xfId="2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1" fillId="0" borderId="1" xfId="1" applyFont="1" applyFill="1" applyBorder="1" applyAlignment="1">
      <alignment horizontal="center" vertical="center" wrapText="1"/>
    </xf>
    <xf numFmtId="168" fontId="1" fillId="0" borderId="1" xfId="1" applyNumberFormat="1" applyFont="1" applyFill="1" applyBorder="1" applyAlignment="1">
      <alignment horizontal="center" vertical="center" wrapText="1"/>
    </xf>
    <xf numFmtId="9" fontId="0" fillId="0" borderId="9" xfId="2" applyFont="1" applyFill="1" applyBorder="1" applyAlignment="1">
      <alignment horizontal="center" vertical="center" wrapText="1"/>
    </xf>
    <xf numFmtId="0" fontId="6" fillId="0" borderId="9" xfId="0" applyFont="1" applyBorder="1"/>
    <xf numFmtId="0" fontId="1" fillId="0" borderId="1" xfId="2" applyNumberFormat="1" applyFont="1" applyFill="1" applyBorder="1" applyAlignment="1">
      <alignment horizontal="center"/>
    </xf>
    <xf numFmtId="9" fontId="1" fillId="2" borderId="2" xfId="2" applyFont="1" applyFill="1" applyBorder="1" applyAlignment="1">
      <alignment horizontal="center"/>
    </xf>
    <xf numFmtId="9" fontId="17" fillId="2" borderId="1" xfId="5" applyFont="1" applyFill="1" applyBorder="1" applyAlignment="1">
      <alignment horizontal="center"/>
    </xf>
    <xf numFmtId="0" fontId="17" fillId="2" borderId="5" xfId="5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left"/>
    </xf>
    <xf numFmtId="165" fontId="18" fillId="0" borderId="1" xfId="1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/>
    </xf>
    <xf numFmtId="165" fontId="17" fillId="4" borderId="1" xfId="1" applyFont="1" applyFill="1" applyBorder="1" applyAlignment="1">
      <alignment horizontal="left" vertical="center" wrapText="1"/>
    </xf>
    <xf numFmtId="166" fontId="17" fillId="4" borderId="1" xfId="1" applyNumberFormat="1" applyFont="1" applyFill="1" applyBorder="1" applyAlignment="1">
      <alignment horizontal="left" vertical="center" wrapText="1"/>
    </xf>
    <xf numFmtId="9" fontId="1" fillId="2" borderId="2" xfId="2" applyFont="1" applyFill="1" applyBorder="1" applyAlignment="1">
      <alignment horizontal="center" vertical="center" wrapText="1"/>
    </xf>
    <xf numFmtId="9" fontId="0" fillId="0" borderId="31" xfId="2" applyFont="1" applyBorder="1" applyAlignment="1">
      <alignment horizontal="center"/>
    </xf>
    <xf numFmtId="166" fontId="0" fillId="0" borderId="5" xfId="1" applyNumberFormat="1" applyFont="1" applyBorder="1"/>
    <xf numFmtId="0" fontId="0" fillId="0" borderId="1" xfId="1" applyNumberFormat="1" applyFont="1" applyBorder="1" applyAlignment="1">
      <alignment horizontal="center"/>
    </xf>
    <xf numFmtId="166" fontId="6" fillId="0" borderId="1" xfId="4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horizontal="left"/>
    </xf>
    <xf numFmtId="165" fontId="19" fillId="2" borderId="1" xfId="1" applyFont="1" applyFill="1" applyBorder="1" applyAlignment="1">
      <alignment horizontal="left"/>
    </xf>
    <xf numFmtId="0" fontId="0" fillId="0" borderId="1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1" xfId="2" applyFont="1" applyBorder="1" applyAlignment="1">
      <alignment horizontal="center"/>
    </xf>
    <xf numFmtId="9" fontId="0" fillId="0" borderId="19" xfId="1" applyNumberFormat="1" applyFont="1" applyBorder="1" applyAlignment="1">
      <alignment horizontal="center"/>
    </xf>
    <xf numFmtId="9" fontId="0" fillId="0" borderId="20" xfId="1" applyNumberFormat="1" applyFont="1" applyBorder="1" applyAlignment="1">
      <alignment horizontal="center"/>
    </xf>
    <xf numFmtId="9" fontId="0" fillId="0" borderId="21" xfId="1" applyNumberFormat="1" applyFont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165" fontId="0" fillId="0" borderId="19" xfId="1" applyFont="1" applyBorder="1" applyAlignment="1">
      <alignment horizontal="center"/>
    </xf>
    <xf numFmtId="165" fontId="0" fillId="0" borderId="20" xfId="1" applyFont="1" applyBorder="1" applyAlignment="1">
      <alignment horizontal="center"/>
    </xf>
    <xf numFmtId="165" fontId="0" fillId="0" borderId="21" xfId="1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9" fontId="1" fillId="0" borderId="5" xfId="2" applyFont="1" applyFill="1" applyBorder="1" applyAlignment="1">
      <alignment horizontal="center" wrapText="1"/>
    </xf>
    <xf numFmtId="9" fontId="1" fillId="0" borderId="9" xfId="2" applyFont="1" applyFill="1" applyBorder="1" applyAlignment="1">
      <alignment horizontal="center" wrapText="1"/>
    </xf>
    <xf numFmtId="9" fontId="1" fillId="2" borderId="2" xfId="2" applyFont="1" applyFill="1" applyBorder="1" applyAlignment="1">
      <alignment horizontal="center"/>
    </xf>
    <xf numFmtId="9" fontId="1" fillId="2" borderId="3" xfId="2" applyFont="1" applyFill="1" applyBorder="1" applyAlignment="1">
      <alignment horizontal="center"/>
    </xf>
    <xf numFmtId="9" fontId="1" fillId="2" borderId="4" xfId="2" applyFont="1" applyFill="1" applyBorder="1" applyAlignment="1">
      <alignment horizontal="center"/>
    </xf>
    <xf numFmtId="9" fontId="1" fillId="2" borderId="1" xfId="2" applyFont="1" applyFill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9" fontId="1" fillId="2" borderId="5" xfId="2" applyFont="1" applyFill="1" applyBorder="1" applyAlignment="1">
      <alignment horizontal="center" vertical="center"/>
    </xf>
    <xf numFmtId="9" fontId="1" fillId="2" borderId="9" xfId="2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1" applyFont="1" applyFill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 wrapText="1"/>
    </xf>
    <xf numFmtId="1" fontId="0" fillId="0" borderId="4" xfId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9" fontId="1" fillId="2" borderId="28" xfId="2" applyFont="1" applyFill="1" applyBorder="1" applyAlignment="1">
      <alignment horizontal="center"/>
    </xf>
    <xf numFmtId="169" fontId="15" fillId="2" borderId="1" xfId="2" applyNumberFormat="1" applyFont="1" applyFill="1" applyBorder="1" applyAlignment="1">
      <alignment horizontal="center"/>
    </xf>
    <xf numFmtId="9" fontId="15" fillId="2" borderId="1" xfId="2" applyFont="1" applyFill="1" applyBorder="1" applyAlignment="1">
      <alignment horizontal="center"/>
    </xf>
    <xf numFmtId="165" fontId="1" fillId="0" borderId="1" xfId="2" applyNumberFormat="1" applyFont="1" applyFill="1" applyBorder="1" applyAlignment="1">
      <alignment horizontal="center"/>
    </xf>
    <xf numFmtId="9" fontId="1" fillId="0" borderId="1" xfId="2" applyFont="1" applyFill="1" applyBorder="1" applyAlignment="1">
      <alignment horizontal="center"/>
    </xf>
    <xf numFmtId="165" fontId="0" fillId="0" borderId="1" xfId="1" applyFont="1" applyFill="1" applyBorder="1" applyAlignment="1">
      <alignment horizontal="center" vertical="center"/>
    </xf>
    <xf numFmtId="9" fontId="1" fillId="2" borderId="1" xfId="2" applyFont="1" applyFill="1" applyBorder="1" applyAlignment="1">
      <alignment horizontal="center" vertical="center"/>
    </xf>
    <xf numFmtId="164" fontId="1" fillId="2" borderId="1" xfId="2" applyNumberFormat="1" applyFont="1" applyFill="1" applyBorder="1" applyAlignment="1">
      <alignment horizontal="center"/>
    </xf>
  </cellXfs>
  <cellStyles count="7">
    <cellStyle name="Bueno" xfId="3" builtinId="26"/>
    <cellStyle name="Hipervínculo" xfId="6" builtinId="8"/>
    <cellStyle name="Moneda" xfId="1" builtinId="4"/>
    <cellStyle name="Moneda 2" xfId="4" xr:uid="{F0166706-9A16-4210-B38E-9C166E7E2346}"/>
    <cellStyle name="Normal" xfId="0" builtinId="0"/>
    <cellStyle name="Porcentaje" xfId="2" builtinId="5"/>
    <cellStyle name="Porcentaje 2" xfId="5" xr:uid="{107108AA-016B-443A-9DB8-9D7648F17433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973668</xdr:colOff>
      <xdr:row>18</xdr:row>
      <xdr:rowOff>10585</xdr:rowOff>
    </xdr:from>
    <xdr:to>
      <xdr:col>13</xdr:col>
      <xdr:colOff>55569</xdr:colOff>
      <xdr:row>34</xdr:row>
      <xdr:rowOff>158751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D6C23E-E680-CF07-38C1-DACDCE3DB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1" y="3439585"/>
          <a:ext cx="7188735" cy="3196166"/>
        </a:xfrm>
        <a:prstGeom prst="rect">
          <a:avLst/>
        </a:prstGeom>
        <a:ln w="28575">
          <a:solidFill>
            <a:sysClr val="windowText" lastClr="000000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NINO" id="{135D3D71-226D-0C49-88D1-A642F2AD8178}" userId="S::maria2181803@correo.uis.edu.co::d0496e9c-fd52-47bf-b450-8b8b87af7e7e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7" dT="2024-07-25T22:25:24.99" personId="{135D3D71-226D-0C49-88D1-A642F2AD8178}" id="{189AFF7B-063D-4149-A5D3-D2EC4815F45A}">
    <text>Los $35,000 adicionales al precio de la caja promedio de los dos productos con dos sabores se establecen para cubrir los gastos de arriendo y el costo de un mesero. El arriendo mensual es de $4,500,000, y el costo de un mesero es de aproximadamente $2,132,900, lo que suma un total de $6,632,900. Dado que se realizan en promedio 199 servicios por mes, el valor adicional de $35,000 por servicio generaría $6,965,000, cubriendo así estos dos gastos.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mecenter.com.co/homecenter-co/product/674127/cafetera-12-tazas-switch-negro-2183235/674127/" TargetMode="External"/><Relationship Id="rId13" Type="http://schemas.openxmlformats.org/officeDocument/2006/relationships/hyperlink" Target="https://www.homecenter.com.co/homecenter-co/product/CS4937/comedor-exterior-plastico-infinity-4-puestos-sillas-sin-brazos-wengue/CS4937/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s://www.homecenter.com.co/homecenter-co/product/550829/impresora-epson-l3210/550829/" TargetMode="External"/><Relationship Id="rId7" Type="http://schemas.openxmlformats.org/officeDocument/2006/relationships/hyperlink" Target="https://www.homecenter.com.co/homecenter-co/product/566309/batidora-de-pedestal-artisan-10-velocidades-47-lt-325-watts/566309/" TargetMode="External"/><Relationship Id="rId12" Type="http://schemas.openxmlformats.org/officeDocument/2006/relationships/hyperlink" Target="https://www.homecenter.com.co/homecenter-co/product/298028/estanteria-bricol-metalica-gris-de-180x90x40-cm/298028/" TargetMode="External"/><Relationship Id="rId17" Type="http://schemas.openxmlformats.org/officeDocument/2006/relationships/hyperlink" Target="https://www.mercadolibre.com.co/combo-pos-impresora-58mm-cajon-monedero-lector-cod-barras-110v220v/p/MCO27875082" TargetMode="External"/><Relationship Id="rId2" Type="http://schemas.openxmlformats.org/officeDocument/2006/relationships/hyperlink" Target="https://www.homecenter.com.co/homecenter-co/product/695087/tablet-lenovo-tab-m11-4g-lte-8gb-128gb-gris-pen/695087/" TargetMode="External"/><Relationship Id="rId16" Type="http://schemas.openxmlformats.org/officeDocument/2006/relationships/hyperlink" Target="https://www.homecenter.com.co/homecenter-co/product/554886/ventilador-de-torre-3-velocidades-sin-control-eole-negro/554886/" TargetMode="External"/><Relationship Id="rId1" Type="http://schemas.openxmlformats.org/officeDocument/2006/relationships/hyperlink" Target="https://www.homecenter.com.co/homecenter-co/product/655840/portatil-lenovo-amd-ryzen-3-8gb-512gb-ideapad-slim-3-14-azul/655840/" TargetMode="External"/><Relationship Id="rId6" Type="http://schemas.openxmlformats.org/officeDocument/2006/relationships/hyperlink" Target="https://www.homecenter.com.co/homecenter-co/product/556842/barra-de-sonido-bluetooth-60w-sb60/556842/" TargetMode="External"/><Relationship Id="rId11" Type="http://schemas.openxmlformats.org/officeDocument/2006/relationships/hyperlink" Target="https://www.homecenter.com.co/homecenter-co/product/554888/licuadora-22-lts-10-velocidades-infinyforcexl-negro/554888/" TargetMode="External"/><Relationship Id="rId5" Type="http://schemas.openxmlformats.org/officeDocument/2006/relationships/hyperlink" Target="https://www.homecenter.com.co/homecenter-co/product/685872/kit-2-camaras-inteligentes-con-movimiento-2k-planet-iii-vta/685872/" TargetMode="External"/><Relationship Id="rId15" Type="http://schemas.openxmlformats.org/officeDocument/2006/relationships/hyperlink" Target="https://www.homecenter.com.co/homecenter-co/product/597840/moldes-para-horno-de-cocina/597840/" TargetMode="External"/><Relationship Id="rId10" Type="http://schemas.openxmlformats.org/officeDocument/2006/relationships/hyperlink" Target="https://www.homecenter.com.co/homecenter-co/product/488888/horno-microondas-07pc-120-v-wm1807d-silver/488888/" TargetMode="External"/><Relationship Id="rId4" Type="http://schemas.openxmlformats.org/officeDocument/2006/relationships/hyperlink" Target="https://www.homecenter.com.co/homecenter-co/product/695866/xiaomi-redmi-note-13-negro-256gb/695866/" TargetMode="External"/><Relationship Id="rId9" Type="http://schemas.openxmlformats.org/officeDocument/2006/relationships/hyperlink" Target="https://www.homecenter.com.co/homecenter-co/product/320170/estufa-a-gas-esmaltada-con-encendido-60-cm-cg4psnee-n/320170/" TargetMode="External"/><Relationship Id="rId14" Type="http://schemas.openxmlformats.org/officeDocument/2006/relationships/hyperlink" Target="https://www.homecenter.com.co/homecenter-co/product/544878/setx2-silla-bar-milyi-40x42x75-gris/544878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7E89-C51E-4F1A-9C37-B28FD9CCBB37}">
  <dimension ref="B2:N27"/>
  <sheetViews>
    <sheetView zoomScale="90" zoomScaleNormal="90" workbookViewId="0">
      <selection activeCell="E27" sqref="E27"/>
    </sheetView>
  </sheetViews>
  <sheetFormatPr baseColWidth="10" defaultRowHeight="15" x14ac:dyDescent="0.2"/>
  <cols>
    <col min="2" max="2" width="29.1640625" customWidth="1"/>
    <col min="3" max="3" width="20.5" customWidth="1"/>
    <col min="5" max="5" width="12.5" bestFit="1" customWidth="1"/>
    <col min="8" max="8" width="12.5" bestFit="1" customWidth="1"/>
    <col min="9" max="9" width="18.5" customWidth="1"/>
    <col min="11" max="11" width="21.5" bestFit="1" customWidth="1"/>
    <col min="13" max="13" width="18.5" customWidth="1"/>
  </cols>
  <sheetData>
    <row r="2" spans="2:11" ht="16" x14ac:dyDescent="0.2">
      <c r="B2" s="11"/>
      <c r="C2" s="158" t="s">
        <v>87</v>
      </c>
      <c r="D2" s="158"/>
      <c r="E2" s="158"/>
      <c r="F2" s="159" t="s">
        <v>88</v>
      </c>
      <c r="G2" s="159"/>
      <c r="H2" s="159"/>
      <c r="I2" s="154" t="s">
        <v>90</v>
      </c>
    </row>
    <row r="3" spans="2:11" ht="16" x14ac:dyDescent="0.2">
      <c r="B3" s="11" t="s">
        <v>0</v>
      </c>
      <c r="C3" s="12" t="s">
        <v>1</v>
      </c>
      <c r="D3" s="12" t="s">
        <v>3</v>
      </c>
      <c r="E3" s="12" t="s">
        <v>20</v>
      </c>
      <c r="F3" s="13" t="s">
        <v>1</v>
      </c>
      <c r="G3" s="13" t="s">
        <v>3</v>
      </c>
      <c r="H3" s="13" t="s">
        <v>20</v>
      </c>
      <c r="I3" s="154"/>
    </row>
    <row r="4" spans="2:11" x14ac:dyDescent="0.2">
      <c r="B4" s="8" t="s">
        <v>34</v>
      </c>
      <c r="C4" s="8">
        <v>900</v>
      </c>
      <c r="D4" s="8" t="s">
        <v>80</v>
      </c>
      <c r="E4" s="14">
        <v>9000</v>
      </c>
      <c r="F4" s="8">
        <v>900</v>
      </c>
      <c r="G4" s="8" t="s">
        <v>80</v>
      </c>
      <c r="H4" s="14">
        <v>8990</v>
      </c>
      <c r="I4" s="8" t="str">
        <f>IF(E4&lt;H4,$C$2,$F$2)</f>
        <v>D1</v>
      </c>
    </row>
    <row r="5" spans="2:11" x14ac:dyDescent="0.2">
      <c r="B5" s="8" t="s">
        <v>82</v>
      </c>
      <c r="C5" s="8">
        <v>180</v>
      </c>
      <c r="D5" s="8" t="s">
        <v>80</v>
      </c>
      <c r="E5" s="14">
        <v>8490</v>
      </c>
      <c r="F5" s="8">
        <v>210</v>
      </c>
      <c r="G5" s="8" t="s">
        <v>80</v>
      </c>
      <c r="H5" s="14">
        <v>10000</v>
      </c>
      <c r="I5" s="8" t="s">
        <v>88</v>
      </c>
      <c r="J5" s="75"/>
      <c r="K5" s="75"/>
    </row>
    <row r="6" spans="2:11" x14ac:dyDescent="0.2">
      <c r="B6" s="8" t="s">
        <v>5</v>
      </c>
      <c r="C6" s="8">
        <v>1</v>
      </c>
      <c r="D6" s="8" t="s">
        <v>3</v>
      </c>
      <c r="E6" s="14">
        <v>480</v>
      </c>
      <c r="F6" s="8">
        <v>1</v>
      </c>
      <c r="G6" s="8" t="s">
        <v>3</v>
      </c>
      <c r="H6" s="14">
        <v>450</v>
      </c>
      <c r="I6" s="8" t="str">
        <f t="shared" ref="I6:I16" si="0">IF(E6&lt;H6,$C$2,$F$2)</f>
        <v>D1</v>
      </c>
    </row>
    <row r="7" spans="2:11" x14ac:dyDescent="0.2">
      <c r="B7" s="8" t="s">
        <v>83</v>
      </c>
      <c r="C7" s="8">
        <v>1000</v>
      </c>
      <c r="D7" s="8" t="s">
        <v>80</v>
      </c>
      <c r="E7" s="14">
        <v>8000</v>
      </c>
      <c r="F7" s="8">
        <v>1000</v>
      </c>
      <c r="G7" s="8" t="s">
        <v>80</v>
      </c>
      <c r="H7" s="14">
        <v>8000</v>
      </c>
      <c r="I7" s="8" t="s">
        <v>208</v>
      </c>
    </row>
    <row r="8" spans="2:11" x14ac:dyDescent="0.2">
      <c r="B8" s="8" t="s">
        <v>84</v>
      </c>
      <c r="C8" s="8">
        <v>120</v>
      </c>
      <c r="D8" s="8" t="s">
        <v>62</v>
      </c>
      <c r="E8" s="14">
        <v>9000</v>
      </c>
      <c r="F8" s="8">
        <v>100</v>
      </c>
      <c r="G8" s="8" t="s">
        <v>62</v>
      </c>
      <c r="H8" s="14">
        <v>5900</v>
      </c>
      <c r="I8" s="8" t="str">
        <f t="shared" si="0"/>
        <v>D1</v>
      </c>
      <c r="J8" s="75"/>
      <c r="K8" s="75"/>
    </row>
    <row r="9" spans="2:11" x14ac:dyDescent="0.2">
      <c r="B9" s="8" t="s">
        <v>30</v>
      </c>
      <c r="C9" s="8">
        <v>500</v>
      </c>
      <c r="D9" s="8" t="s">
        <v>62</v>
      </c>
      <c r="E9" s="14">
        <v>9500</v>
      </c>
      <c r="F9" s="8">
        <v>230</v>
      </c>
      <c r="G9" s="8" t="s">
        <v>62</v>
      </c>
      <c r="H9" s="14">
        <v>7700</v>
      </c>
      <c r="I9" s="8" t="s">
        <v>87</v>
      </c>
      <c r="J9" s="75"/>
      <c r="K9" s="75"/>
    </row>
    <row r="10" spans="2:11" x14ac:dyDescent="0.2">
      <c r="B10" s="8" t="s">
        <v>81</v>
      </c>
      <c r="C10" s="8">
        <v>60</v>
      </c>
      <c r="D10" s="8" t="s">
        <v>80</v>
      </c>
      <c r="E10" s="14">
        <v>5200</v>
      </c>
      <c r="F10" s="8">
        <v>60</v>
      </c>
      <c r="G10" s="8" t="s">
        <v>80</v>
      </c>
      <c r="H10" s="14">
        <v>4900</v>
      </c>
      <c r="I10" s="8" t="str">
        <f t="shared" si="0"/>
        <v>D1</v>
      </c>
      <c r="J10" s="75"/>
      <c r="K10" s="75"/>
    </row>
    <row r="11" spans="2:11" x14ac:dyDescent="0.2">
      <c r="B11" s="8" t="s">
        <v>31</v>
      </c>
      <c r="C11" s="8">
        <v>250</v>
      </c>
      <c r="D11" s="8" t="s">
        <v>62</v>
      </c>
      <c r="E11" s="14">
        <v>4500</v>
      </c>
      <c r="F11" s="8" t="s">
        <v>79</v>
      </c>
      <c r="G11" s="8" t="s">
        <v>79</v>
      </c>
      <c r="H11" s="14" t="s">
        <v>79</v>
      </c>
      <c r="I11" s="8" t="str">
        <f t="shared" si="0"/>
        <v>Tiendas ara</v>
      </c>
    </row>
    <row r="12" spans="2:11" x14ac:dyDescent="0.2">
      <c r="B12" s="8" t="s">
        <v>78</v>
      </c>
      <c r="C12" s="8">
        <v>30</v>
      </c>
      <c r="D12" s="8" t="s">
        <v>3</v>
      </c>
      <c r="E12" s="14">
        <v>18000</v>
      </c>
      <c r="F12" s="8">
        <v>30</v>
      </c>
      <c r="G12" s="8" t="s">
        <v>3</v>
      </c>
      <c r="H12" s="14">
        <v>22000</v>
      </c>
      <c r="I12" s="8" t="str">
        <f t="shared" si="0"/>
        <v>Tiendas ara</v>
      </c>
    </row>
    <row r="13" spans="2:11" x14ac:dyDescent="0.2">
      <c r="B13" s="8" t="s">
        <v>89</v>
      </c>
      <c r="C13" s="8">
        <v>250</v>
      </c>
      <c r="D13" s="8" t="s">
        <v>62</v>
      </c>
      <c r="E13" s="14">
        <v>6000</v>
      </c>
      <c r="F13" s="8">
        <v>220</v>
      </c>
      <c r="G13" s="8" t="s">
        <v>62</v>
      </c>
      <c r="H13" s="14">
        <v>10600</v>
      </c>
      <c r="I13" s="8" t="str">
        <f t="shared" si="0"/>
        <v>Tiendas ara</v>
      </c>
    </row>
    <row r="14" spans="2:11" x14ac:dyDescent="0.2">
      <c r="B14" s="8" t="s">
        <v>33</v>
      </c>
      <c r="C14" s="8">
        <v>350</v>
      </c>
      <c r="D14" s="8" t="s">
        <v>62</v>
      </c>
      <c r="E14" s="14">
        <v>9000</v>
      </c>
      <c r="F14" s="8">
        <v>350</v>
      </c>
      <c r="G14" s="8" t="s">
        <v>62</v>
      </c>
      <c r="H14" s="14">
        <v>9000</v>
      </c>
      <c r="I14" s="8" t="s">
        <v>208</v>
      </c>
    </row>
    <row r="15" spans="2:11" x14ac:dyDescent="0.2">
      <c r="B15" s="8" t="s">
        <v>32</v>
      </c>
      <c r="C15" s="8">
        <v>80</v>
      </c>
      <c r="D15" s="8" t="s">
        <v>62</v>
      </c>
      <c r="E15" s="14">
        <v>7100</v>
      </c>
      <c r="F15" s="8" t="s">
        <v>79</v>
      </c>
      <c r="G15" s="8" t="s">
        <v>79</v>
      </c>
      <c r="H15" s="14" t="s">
        <v>79</v>
      </c>
      <c r="I15" s="8" t="str">
        <f t="shared" si="0"/>
        <v>Tiendas ara</v>
      </c>
    </row>
    <row r="16" spans="2:11" x14ac:dyDescent="0.2">
      <c r="B16" s="8" t="s">
        <v>85</v>
      </c>
      <c r="C16" s="8" t="s">
        <v>79</v>
      </c>
      <c r="D16" s="8" t="s">
        <v>79</v>
      </c>
      <c r="E16" s="14" t="s">
        <v>79</v>
      </c>
      <c r="F16" s="8">
        <v>180</v>
      </c>
      <c r="G16" s="8" t="s">
        <v>62</v>
      </c>
      <c r="H16" s="14">
        <v>7500</v>
      </c>
      <c r="I16" s="8" t="str">
        <f t="shared" si="0"/>
        <v>D1</v>
      </c>
    </row>
    <row r="17" spans="2:14" x14ac:dyDescent="0.2">
      <c r="B17" s="155" t="s">
        <v>281</v>
      </c>
      <c r="C17" s="156"/>
      <c r="D17" s="156"/>
      <c r="E17" s="156"/>
      <c r="F17" s="156"/>
      <c r="G17" s="156"/>
      <c r="H17" s="156"/>
      <c r="I17" s="157"/>
    </row>
    <row r="18" spans="2:14" x14ac:dyDescent="0.2">
      <c r="B18" s="8" t="s">
        <v>282</v>
      </c>
      <c r="C18" s="8" t="s">
        <v>79</v>
      </c>
      <c r="D18" s="8" t="s">
        <v>79</v>
      </c>
      <c r="E18" s="14" t="s">
        <v>79</v>
      </c>
      <c r="F18" s="8">
        <v>250</v>
      </c>
      <c r="G18" s="8" t="s">
        <v>62</v>
      </c>
      <c r="H18" s="14">
        <v>7500</v>
      </c>
      <c r="I18" s="8" t="s">
        <v>88</v>
      </c>
      <c r="K18" s="114" t="s">
        <v>318</v>
      </c>
      <c r="L18" s="77">
        <f>(1*H18)/F18</f>
        <v>30</v>
      </c>
      <c r="M18" s="154" t="s">
        <v>320</v>
      </c>
      <c r="N18" s="153">
        <f>AVERAGE(L18,L19)</f>
        <v>44.5</v>
      </c>
    </row>
    <row r="19" spans="2:14" x14ac:dyDescent="0.2">
      <c r="B19" s="8" t="s">
        <v>283</v>
      </c>
      <c r="C19" s="8" t="s">
        <v>79</v>
      </c>
      <c r="D19" s="8" t="s">
        <v>79</v>
      </c>
      <c r="E19" s="14" t="s">
        <v>79</v>
      </c>
      <c r="F19" s="8">
        <v>100</v>
      </c>
      <c r="G19" s="8" t="s">
        <v>62</v>
      </c>
      <c r="H19" s="14">
        <v>5900</v>
      </c>
      <c r="I19" s="8" t="s">
        <v>88</v>
      </c>
      <c r="K19" s="114" t="s">
        <v>319</v>
      </c>
      <c r="L19" s="77">
        <f>(1*H19)/F19</f>
        <v>59</v>
      </c>
      <c r="M19" s="154"/>
      <c r="N19" s="153"/>
    </row>
    <row r="20" spans="2:14" x14ac:dyDescent="0.2">
      <c r="B20" s="8" t="s">
        <v>284</v>
      </c>
      <c r="C20" s="8">
        <v>100</v>
      </c>
      <c r="D20" s="8" t="s">
        <v>62</v>
      </c>
      <c r="E20" s="14">
        <v>5500</v>
      </c>
      <c r="F20" s="8">
        <v>150</v>
      </c>
      <c r="G20" s="8" t="s">
        <v>62</v>
      </c>
      <c r="H20" s="14">
        <v>7000</v>
      </c>
      <c r="I20" s="8" t="s">
        <v>88</v>
      </c>
      <c r="N20" s="77">
        <f>N18</f>
        <v>44.5</v>
      </c>
    </row>
    <row r="22" spans="2:14" x14ac:dyDescent="0.2">
      <c r="B22" s="148" t="s">
        <v>0</v>
      </c>
      <c r="C22" s="148"/>
      <c r="D22" s="148"/>
      <c r="E22" s="148"/>
      <c r="F22" s="148" t="s">
        <v>204</v>
      </c>
      <c r="G22" s="148"/>
      <c r="H22" s="148"/>
      <c r="I22" s="148"/>
    </row>
    <row r="23" spans="2:14" x14ac:dyDescent="0.2">
      <c r="B23" s="8" t="s">
        <v>75</v>
      </c>
      <c r="C23" s="8">
        <v>500</v>
      </c>
      <c r="D23" s="8" t="s">
        <v>317</v>
      </c>
      <c r="E23" s="14">
        <v>435000</v>
      </c>
      <c r="F23" s="150" t="s">
        <v>205</v>
      </c>
      <c r="G23" s="151"/>
      <c r="H23" s="151"/>
      <c r="I23" s="152"/>
    </row>
    <row r="24" spans="2:14" x14ac:dyDescent="0.2">
      <c r="B24" s="8" t="s">
        <v>76</v>
      </c>
      <c r="C24" s="8">
        <v>500</v>
      </c>
      <c r="D24" s="8" t="s">
        <v>317</v>
      </c>
      <c r="E24" s="14">
        <v>45000</v>
      </c>
      <c r="F24" s="150" t="s">
        <v>206</v>
      </c>
      <c r="G24" s="151"/>
      <c r="H24" s="151"/>
      <c r="I24" s="152"/>
    </row>
    <row r="25" spans="2:14" x14ac:dyDescent="0.2">
      <c r="B25" s="8" t="s">
        <v>77</v>
      </c>
      <c r="C25" s="8">
        <v>500</v>
      </c>
      <c r="D25" s="8" t="s">
        <v>317</v>
      </c>
      <c r="E25" s="14">
        <v>150000</v>
      </c>
      <c r="F25" s="150" t="s">
        <v>205</v>
      </c>
      <c r="G25" s="151"/>
      <c r="H25" s="151"/>
      <c r="I25" s="152"/>
    </row>
    <row r="26" spans="2:14" x14ac:dyDescent="0.2">
      <c r="B26" s="8" t="s">
        <v>287</v>
      </c>
      <c r="C26" s="8">
        <v>100</v>
      </c>
      <c r="D26" s="8" t="s">
        <v>317</v>
      </c>
      <c r="E26" s="14">
        <v>8000</v>
      </c>
      <c r="F26" s="150" t="s">
        <v>207</v>
      </c>
      <c r="G26" s="151"/>
      <c r="H26" s="151"/>
      <c r="I26" s="152"/>
    </row>
    <row r="27" spans="2:14" x14ac:dyDescent="0.2">
      <c r="B27" s="8" t="s">
        <v>285</v>
      </c>
      <c r="C27" s="8">
        <v>250</v>
      </c>
      <c r="D27" s="8" t="s">
        <v>62</v>
      </c>
      <c r="E27" s="110">
        <v>37000</v>
      </c>
      <c r="F27" s="149" t="s">
        <v>286</v>
      </c>
      <c r="G27" s="149"/>
      <c r="H27" s="149"/>
      <c r="I27" s="149"/>
    </row>
  </sheetData>
  <sortState xmlns:xlrd2="http://schemas.microsoft.com/office/spreadsheetml/2017/richdata2" ref="B4:H16">
    <sortCondition ref="B4:B16"/>
  </sortState>
  <mergeCells count="13">
    <mergeCell ref="N18:N19"/>
    <mergeCell ref="M18:M19"/>
    <mergeCell ref="B17:I17"/>
    <mergeCell ref="C2:E2"/>
    <mergeCell ref="F2:H2"/>
    <mergeCell ref="I2:I3"/>
    <mergeCell ref="B22:E22"/>
    <mergeCell ref="F22:I22"/>
    <mergeCell ref="F27:I27"/>
    <mergeCell ref="F23:I23"/>
    <mergeCell ref="F24:I24"/>
    <mergeCell ref="F25:I25"/>
    <mergeCell ref="F26:I26"/>
  </mergeCells>
  <conditionalFormatting sqref="I4:I16">
    <cfRule type="cellIs" dxfId="0" priority="1" operator="greaterThan">
      <formula>$E$4&gt;$H$4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D8B-F078-4D15-BACB-0504ED4CBBEA}">
  <dimension ref="A1:G42"/>
  <sheetViews>
    <sheetView zoomScale="75" workbookViewId="0">
      <selection activeCell="J32" sqref="J32"/>
    </sheetView>
  </sheetViews>
  <sheetFormatPr baseColWidth="10" defaultRowHeight="15" x14ac:dyDescent="0.2"/>
  <cols>
    <col min="1" max="1" width="44.6640625" customWidth="1"/>
    <col min="2" max="7" width="20.5" customWidth="1"/>
  </cols>
  <sheetData>
    <row r="1" spans="1:7" x14ac:dyDescent="0.2">
      <c r="A1" s="91"/>
      <c r="B1" s="98">
        <v>2024</v>
      </c>
      <c r="C1" s="98">
        <v>2025</v>
      </c>
      <c r="D1" s="98">
        <v>2026</v>
      </c>
      <c r="E1" s="98">
        <v>2027</v>
      </c>
      <c r="F1" s="98">
        <v>2028</v>
      </c>
      <c r="G1" s="98">
        <v>2029</v>
      </c>
    </row>
    <row r="2" spans="1:7" x14ac:dyDescent="0.2">
      <c r="A2" s="170" t="s">
        <v>249</v>
      </c>
      <c r="B2" s="170"/>
      <c r="C2" s="170"/>
      <c r="D2" s="170"/>
      <c r="E2" s="170"/>
      <c r="F2" s="170"/>
      <c r="G2" s="170"/>
    </row>
    <row r="3" spans="1:7" x14ac:dyDescent="0.2">
      <c r="A3" s="56" t="s">
        <v>250</v>
      </c>
      <c r="B3" s="46">
        <f>'Inversiones iniciales'!D82</f>
        <v>55926085.086459875</v>
      </c>
      <c r="C3" s="46">
        <f>'Flujo de caja'!C38</f>
        <v>39408121.506171495</v>
      </c>
      <c r="D3" s="46">
        <f>'Flujo de caja'!D38</f>
        <v>53358782.769881099</v>
      </c>
      <c r="E3" s="46">
        <f>'Flujo de caja'!E38</f>
        <v>90182547.780300617</v>
      </c>
      <c r="F3" s="46">
        <f>'Flujo de caja'!F38</f>
        <v>154701699.60893607</v>
      </c>
      <c r="G3" s="46">
        <f>'Flujo de caja'!G38</f>
        <v>252550571.08255693</v>
      </c>
    </row>
    <row r="4" spans="1:7" x14ac:dyDescent="0.2">
      <c r="A4" s="56" t="s">
        <v>251</v>
      </c>
      <c r="B4" s="46">
        <v>0</v>
      </c>
      <c r="C4" s="46">
        <v>0</v>
      </c>
      <c r="D4" s="46">
        <v>0</v>
      </c>
      <c r="E4" s="46">
        <v>0</v>
      </c>
      <c r="F4" s="46">
        <v>0</v>
      </c>
      <c r="G4" s="46">
        <v>0</v>
      </c>
    </row>
    <row r="5" spans="1:7" x14ac:dyDescent="0.2">
      <c r="A5" s="56" t="s">
        <v>252</v>
      </c>
      <c r="B5" s="46">
        <v>0</v>
      </c>
      <c r="C5" s="46">
        <v>0</v>
      </c>
      <c r="D5" s="46">
        <v>0</v>
      </c>
      <c r="E5" s="46">
        <v>0</v>
      </c>
      <c r="F5" s="46">
        <v>0</v>
      </c>
      <c r="G5" s="46">
        <v>0</v>
      </c>
    </row>
    <row r="6" spans="1:7" x14ac:dyDescent="0.2">
      <c r="A6" s="49" t="s">
        <v>253</v>
      </c>
      <c r="B6" s="46">
        <f t="shared" ref="B6:G6" si="0">SUM(B3:B5)</f>
        <v>55926085.086459875</v>
      </c>
      <c r="C6" s="46">
        <f t="shared" si="0"/>
        <v>39408121.506171495</v>
      </c>
      <c r="D6" s="46">
        <f t="shared" si="0"/>
        <v>53358782.769881099</v>
      </c>
      <c r="E6" s="46">
        <f t="shared" si="0"/>
        <v>90182547.780300617</v>
      </c>
      <c r="F6" s="46">
        <f t="shared" si="0"/>
        <v>154701699.60893607</v>
      </c>
      <c r="G6" s="46">
        <f t="shared" si="0"/>
        <v>252550571.08255693</v>
      </c>
    </row>
    <row r="7" spans="1:7" x14ac:dyDescent="0.2">
      <c r="A7" s="99"/>
      <c r="B7" s="95"/>
      <c r="C7" s="95"/>
      <c r="D7" s="95"/>
      <c r="E7" s="95"/>
      <c r="F7" s="95"/>
    </row>
    <row r="8" spans="1:7" x14ac:dyDescent="0.2">
      <c r="A8" s="56" t="s">
        <v>70</v>
      </c>
      <c r="B8" s="46">
        <f>'Depreciaciones, GA, GV, CIFs'!$D$2</f>
        <v>8975000</v>
      </c>
      <c r="C8" s="46">
        <f>'Depreciaciones, GA, GV, CIFs'!$D$2</f>
        <v>8975000</v>
      </c>
      <c r="D8" s="46">
        <f>'Depreciaciones, GA, GV, CIFs'!$D$2</f>
        <v>8975000</v>
      </c>
      <c r="E8" s="46">
        <f>'Depreciaciones, GA, GV, CIFs'!$D$2</f>
        <v>8975000</v>
      </c>
      <c r="F8" s="46">
        <f>'Depreciaciones, GA, GV, CIFs'!$D$2</f>
        <v>8975000</v>
      </c>
      <c r="G8" s="46">
        <f>'Depreciaciones, GA, GV, CIFs'!$D$2</f>
        <v>8975000</v>
      </c>
    </row>
    <row r="9" spans="1:7" x14ac:dyDescent="0.2">
      <c r="A9" s="56" t="s">
        <v>254</v>
      </c>
      <c r="B9" s="46">
        <f>'Depreciaciones, GA, GV, CIFs'!$D$3</f>
        <v>18000000</v>
      </c>
      <c r="C9" s="46">
        <f>'Depreciaciones, GA, GV, CIFs'!$D$3</f>
        <v>18000000</v>
      </c>
      <c r="D9" s="46">
        <f>'Depreciaciones, GA, GV, CIFs'!$D$3</f>
        <v>18000000</v>
      </c>
      <c r="E9" s="46">
        <f>'Depreciaciones, GA, GV, CIFs'!$D$3</f>
        <v>18000000</v>
      </c>
      <c r="F9" s="46">
        <f>'Depreciaciones, GA, GV, CIFs'!$D$3</f>
        <v>18000000</v>
      </c>
      <c r="G9" s="46">
        <f>'Depreciaciones, GA, GV, CIFs'!$D$3</f>
        <v>18000000</v>
      </c>
    </row>
    <row r="10" spans="1:7" x14ac:dyDescent="0.2">
      <c r="A10" s="56" t="s">
        <v>122</v>
      </c>
      <c r="B10" s="46">
        <f>'Depreciaciones, GA, GV, CIFs'!$D$4</f>
        <v>12160000</v>
      </c>
      <c r="C10" s="46">
        <f>'Depreciaciones, GA, GV, CIFs'!$D$4</f>
        <v>12160000</v>
      </c>
      <c r="D10" s="46">
        <f>'Depreciaciones, GA, GV, CIFs'!$D$4</f>
        <v>12160000</v>
      </c>
      <c r="E10" s="46">
        <f>'Depreciaciones, GA, GV, CIFs'!$D$4</f>
        <v>12160000</v>
      </c>
      <c r="F10" s="46">
        <f>'Depreciaciones, GA, GV, CIFs'!$D$4</f>
        <v>12160000</v>
      </c>
      <c r="G10" s="46">
        <f>'Depreciaciones, GA, GV, CIFs'!$D$4</f>
        <v>12160000</v>
      </c>
    </row>
    <row r="11" spans="1:7" x14ac:dyDescent="0.2">
      <c r="A11" s="56" t="s">
        <v>71</v>
      </c>
      <c r="B11" s="46">
        <f>'Depreciaciones, GA, GV, CIFs'!$D$5</f>
        <v>9570000</v>
      </c>
      <c r="C11" s="46">
        <f>'Depreciaciones, GA, GV, CIFs'!$D$5</f>
        <v>9570000</v>
      </c>
      <c r="D11" s="46">
        <f>'Depreciaciones, GA, GV, CIFs'!$D$5</f>
        <v>9570000</v>
      </c>
      <c r="E11" s="46">
        <f>'Depreciaciones, GA, GV, CIFs'!$D$5</f>
        <v>9570000</v>
      </c>
      <c r="F11" s="46">
        <f>'Depreciaciones, GA, GV, CIFs'!$D$5</f>
        <v>9570000</v>
      </c>
      <c r="G11" s="46">
        <f>'Depreciaciones, GA, GV, CIFs'!$D$5</f>
        <v>9570000</v>
      </c>
    </row>
    <row r="12" spans="1:7" x14ac:dyDescent="0.2">
      <c r="A12" s="56" t="s">
        <v>127</v>
      </c>
      <c r="B12" s="46"/>
      <c r="C12" s="46">
        <f>'Depreciaciones, GA, GV, CIFs'!Q14+'Depreciaciones, GA, GV, CIFs'!Q19+'Depreciaciones, GA, GV, CIFs'!Q24+'Depreciaciones, GA, GV, CIFs'!Q29</f>
        <v>5186500</v>
      </c>
      <c r="D12" s="46">
        <f>'Depreciaciones, GA, GV, CIFs'!AC14+'Depreciaciones, GA, GV, CIFs'!AC19+'Depreciaciones, GA, GV, CIFs'!AC24+'Depreciaciones, GA, GV, CIFs'!AC29</f>
        <v>10373000</v>
      </c>
      <c r="E12" s="46">
        <f>'Depreciaciones, GA, GV, CIFs'!AO14+'Depreciaciones, GA, GV, CIFs'!AO19+'Depreciaciones, GA, GV, CIFs'!AO24+'Depreciaciones, GA, GV, CIFs'!AO29</f>
        <v>15559500.000000004</v>
      </c>
      <c r="F12" s="46">
        <f>'Depreciaciones, GA, GV, CIFs'!BA14+'Depreciaciones, GA, GV, CIFs'!BA19+'Depreciaciones, GA, GV, CIFs'!BA24+'Depreciaciones, GA, GV, CIFs'!BA29</f>
        <v>20746000</v>
      </c>
      <c r="G12" s="46">
        <f>'Depreciaciones, GA, GV, CIFs'!BM14+'Depreciaciones, GA, GV, CIFs'!BM19+'Depreciaciones, GA, GV, CIFs'!BM24+'Depreciaciones, GA, GV, CIFs'!BM29</f>
        <v>25932499.999999993</v>
      </c>
    </row>
    <row r="13" spans="1:7" x14ac:dyDescent="0.2">
      <c r="A13" s="49" t="s">
        <v>255</v>
      </c>
      <c r="B13" s="46">
        <f>SUM(B8:B12)</f>
        <v>48705000</v>
      </c>
      <c r="C13" s="46">
        <f>SUM(C8:C11)-C12</f>
        <v>43518500</v>
      </c>
      <c r="D13" s="46">
        <f>SUM(D8:D11)-D12</f>
        <v>38332000</v>
      </c>
      <c r="E13" s="46">
        <f>SUM(E8:E11)-E12</f>
        <v>33145499.999999996</v>
      </c>
      <c r="F13" s="46">
        <f>SUM(F8:F11)-F12</f>
        <v>27959000</v>
      </c>
      <c r="G13" s="46">
        <f>SUM(G8:G11)-G12</f>
        <v>22772500.000000007</v>
      </c>
    </row>
    <row r="14" spans="1:7" x14ac:dyDescent="0.2">
      <c r="A14" s="100"/>
      <c r="B14" s="101"/>
      <c r="C14" s="101"/>
      <c r="D14" s="101"/>
      <c r="E14" s="101"/>
      <c r="F14" s="101"/>
    </row>
    <row r="15" spans="1:7" x14ac:dyDescent="0.2">
      <c r="A15" s="103" t="s">
        <v>256</v>
      </c>
      <c r="B15" s="104">
        <f>B6+B13</f>
        <v>104631085.08645988</v>
      </c>
      <c r="C15" s="104">
        <f t="shared" ref="C15:G15" si="1">C6+C13</f>
        <v>82926621.506171495</v>
      </c>
      <c r="D15" s="104">
        <f t="shared" si="1"/>
        <v>91690782.769881099</v>
      </c>
      <c r="E15" s="104">
        <f t="shared" si="1"/>
        <v>123328047.78030062</v>
      </c>
      <c r="F15" s="104">
        <f t="shared" si="1"/>
        <v>182660699.60893607</v>
      </c>
      <c r="G15" s="104">
        <f t="shared" si="1"/>
        <v>275323071.08255696</v>
      </c>
    </row>
    <row r="16" spans="1:7" x14ac:dyDescent="0.2">
      <c r="A16" s="93"/>
      <c r="B16" s="94"/>
      <c r="C16" s="94"/>
      <c r="D16" s="94"/>
      <c r="E16" s="94"/>
      <c r="F16" s="94"/>
      <c r="G16" s="92"/>
    </row>
    <row r="17" spans="1:7" x14ac:dyDescent="0.2">
      <c r="A17" s="36"/>
      <c r="B17" s="98">
        <v>2024</v>
      </c>
      <c r="C17" s="98">
        <v>2025</v>
      </c>
      <c r="D17" s="98">
        <v>2026</v>
      </c>
      <c r="E17" s="98">
        <v>2027</v>
      </c>
      <c r="F17" s="98">
        <v>2028</v>
      </c>
      <c r="G17" s="98">
        <v>2029</v>
      </c>
    </row>
    <row r="18" spans="1:7" x14ac:dyDescent="0.2">
      <c r="A18" s="170" t="s">
        <v>257</v>
      </c>
      <c r="B18" s="170"/>
      <c r="C18" s="170"/>
      <c r="D18" s="170"/>
      <c r="E18" s="170"/>
      <c r="F18" s="170"/>
      <c r="G18" s="170"/>
    </row>
    <row r="19" spans="1:7" x14ac:dyDescent="0.2">
      <c r="A19" s="56" t="s">
        <v>258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</row>
    <row r="20" spans="1:7" x14ac:dyDescent="0.2">
      <c r="A20" s="56" t="s">
        <v>259</v>
      </c>
      <c r="B20" s="46"/>
      <c r="C20" s="46">
        <f>'Estados de resultados'!B13</f>
        <v>-4540231.3502963334</v>
      </c>
      <c r="D20" s="46">
        <f>'Estados de resultados'!C13</f>
        <v>4324008.0101372143</v>
      </c>
      <c r="E20" s="46">
        <f>'Estados de resultados'!D13</f>
        <v>15180847.912890553</v>
      </c>
      <c r="F20" s="46">
        <f>'Estados de resultados'!E13</f>
        <v>28383722.788255338</v>
      </c>
      <c r="G20" s="46">
        <f>'Estados de resultados'!F13</f>
        <v>44344559.313280135</v>
      </c>
    </row>
    <row r="21" spans="1:7" x14ac:dyDescent="0.2">
      <c r="A21" s="56" t="s">
        <v>260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</row>
    <row r="22" spans="1:7" x14ac:dyDescent="0.2">
      <c r="A22" s="49" t="s">
        <v>261</v>
      </c>
      <c r="B22" s="46">
        <f t="shared" ref="B22:G22" si="2">SUM(B19:B21)</f>
        <v>0</v>
      </c>
      <c r="C22" s="46">
        <f t="shared" si="2"/>
        <v>-4540231.3502963334</v>
      </c>
      <c r="D22" s="46">
        <f t="shared" si="2"/>
        <v>4324008.0101372143</v>
      </c>
      <c r="E22" s="46">
        <f t="shared" si="2"/>
        <v>15180847.912890553</v>
      </c>
      <c r="F22" s="46">
        <f t="shared" si="2"/>
        <v>28383722.788255338</v>
      </c>
      <c r="G22" s="46">
        <f t="shared" si="2"/>
        <v>44344559.313280135</v>
      </c>
    </row>
    <row r="23" spans="1:7" x14ac:dyDescent="0.2">
      <c r="A23" s="100"/>
      <c r="B23" s="95"/>
      <c r="C23" s="95"/>
      <c r="D23" s="95"/>
      <c r="E23" s="95"/>
      <c r="F23" s="95"/>
    </row>
    <row r="24" spans="1:7" x14ac:dyDescent="0.2">
      <c r="A24" s="56" t="s">
        <v>262</v>
      </c>
      <c r="B24" s="46">
        <f>Préstamo!F3</f>
        <v>60000000</v>
      </c>
      <c r="C24" s="46">
        <f>Préstamo!M12</f>
        <v>52483759.389387652</v>
      </c>
      <c r="D24" s="46">
        <f>Préstamo!M13</f>
        <v>43195164.27112212</v>
      </c>
      <c r="E24" s="46">
        <f>Préstamo!M14</f>
        <v>31716287.563895896</v>
      </c>
      <c r="F24" s="46">
        <f>Préstamo!M15</f>
        <v>17530653.592124097</v>
      </c>
      <c r="G24" s="46">
        <v>0</v>
      </c>
    </row>
    <row r="25" spans="1:7" x14ac:dyDescent="0.2">
      <c r="A25" s="49" t="s">
        <v>263</v>
      </c>
      <c r="B25" s="46">
        <f t="shared" ref="B25:G25" si="3">B24</f>
        <v>60000000</v>
      </c>
      <c r="C25" s="46">
        <f t="shared" si="3"/>
        <v>52483759.389387652</v>
      </c>
      <c r="D25" s="46">
        <f t="shared" si="3"/>
        <v>43195164.27112212</v>
      </c>
      <c r="E25" s="46">
        <f t="shared" si="3"/>
        <v>31716287.563895896</v>
      </c>
      <c r="F25" s="46">
        <f t="shared" si="3"/>
        <v>17530653.592124097</v>
      </c>
      <c r="G25" s="46">
        <f t="shared" si="3"/>
        <v>0</v>
      </c>
    </row>
    <row r="26" spans="1:7" x14ac:dyDescent="0.2">
      <c r="A26" s="100"/>
      <c r="B26" s="102"/>
      <c r="C26" s="102"/>
      <c r="D26" s="102"/>
      <c r="E26" s="102"/>
      <c r="F26" s="102"/>
    </row>
    <row r="27" spans="1:7" x14ac:dyDescent="0.2">
      <c r="A27" s="49" t="s">
        <v>264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</row>
    <row r="28" spans="1:7" x14ac:dyDescent="0.2">
      <c r="A28" s="93"/>
      <c r="B28" s="96"/>
      <c r="C28" s="96"/>
      <c r="D28" s="96"/>
      <c r="E28" s="96"/>
      <c r="F28" s="96"/>
      <c r="G28" s="92"/>
    </row>
    <row r="29" spans="1:7" x14ac:dyDescent="0.2">
      <c r="A29" s="103" t="s">
        <v>265</v>
      </c>
      <c r="B29" s="104">
        <f t="shared" ref="B29:G29" si="4">B22+B25+B27</f>
        <v>60000000</v>
      </c>
      <c r="C29" s="104">
        <f t="shared" si="4"/>
        <v>47943528.039091319</v>
      </c>
      <c r="D29" s="104">
        <f t="shared" si="4"/>
        <v>47519172.281259336</v>
      </c>
      <c r="E29" s="104">
        <f t="shared" si="4"/>
        <v>46897135.47678645</v>
      </c>
      <c r="F29" s="104">
        <f t="shared" si="4"/>
        <v>45914376.380379438</v>
      </c>
      <c r="G29" s="104">
        <f t="shared" si="4"/>
        <v>44344559.313280135</v>
      </c>
    </row>
    <row r="30" spans="1:7" x14ac:dyDescent="0.2">
      <c r="A30" s="97"/>
      <c r="B30" s="36"/>
      <c r="C30" s="36"/>
      <c r="D30" s="36"/>
      <c r="E30" s="36"/>
      <c r="F30" s="36"/>
      <c r="G30" s="92"/>
    </row>
    <row r="31" spans="1:7" x14ac:dyDescent="0.2">
      <c r="A31" s="97"/>
      <c r="B31" s="98">
        <v>2024</v>
      </c>
      <c r="C31" s="98">
        <v>2025</v>
      </c>
      <c r="D31" s="98">
        <v>2026</v>
      </c>
      <c r="E31" s="98">
        <v>2027</v>
      </c>
      <c r="F31" s="98">
        <v>2028</v>
      </c>
      <c r="G31" s="98">
        <v>2029</v>
      </c>
    </row>
    <row r="32" spans="1:7" x14ac:dyDescent="0.2">
      <c r="A32" s="170" t="s">
        <v>266</v>
      </c>
      <c r="B32" s="170"/>
      <c r="C32" s="170"/>
      <c r="D32" s="170"/>
      <c r="E32" s="170"/>
      <c r="F32" s="170"/>
      <c r="G32" s="170"/>
    </row>
    <row r="33" spans="1:7" x14ac:dyDescent="0.2">
      <c r="A33" s="56" t="s">
        <v>267</v>
      </c>
      <c r="B33" s="46">
        <f>'Flujo de caja'!B25</f>
        <v>44631085.086459875</v>
      </c>
      <c r="C33" s="46">
        <f>B33</f>
        <v>44631085.086459875</v>
      </c>
      <c r="D33" s="46">
        <f>C33</f>
        <v>44631085.086459875</v>
      </c>
      <c r="E33" s="46">
        <f>D33</f>
        <v>44631085.086459875</v>
      </c>
      <c r="F33" s="46">
        <f>E33</f>
        <v>44631085.086459875</v>
      </c>
      <c r="G33" s="46">
        <f>F33</f>
        <v>44631085.086459875</v>
      </c>
    </row>
    <row r="34" spans="1:7" x14ac:dyDescent="0.2">
      <c r="A34" s="56" t="s">
        <v>268</v>
      </c>
      <c r="B34" s="46"/>
      <c r="C34" s="46">
        <f>B35</f>
        <v>0</v>
      </c>
      <c r="D34" s="46">
        <f>C35+C34</f>
        <v>-9647991.6193797085</v>
      </c>
      <c r="E34" s="46">
        <f>D35+D34</f>
        <v>-459474.59783812799</v>
      </c>
      <c r="F34" s="46">
        <f>E35+E34</f>
        <v>31799827.2170543</v>
      </c>
      <c r="G34" s="46">
        <f>F35+F34</f>
        <v>92115238.142096907</v>
      </c>
    </row>
    <row r="35" spans="1:7" x14ac:dyDescent="0.2">
      <c r="A35" s="56" t="s">
        <v>269</v>
      </c>
      <c r="B35" s="46"/>
      <c r="C35" s="46">
        <f>'Estados de resultados'!B14</f>
        <v>-9647991.6193797085</v>
      </c>
      <c r="D35" s="46">
        <f>'Estados de resultados'!C14</f>
        <v>9188517.0215415806</v>
      </c>
      <c r="E35" s="46">
        <f>'Estados de resultados'!D14</f>
        <v>32259301.814892426</v>
      </c>
      <c r="F35" s="46">
        <f>'Estados de resultados'!E14</f>
        <v>60315410.925042599</v>
      </c>
      <c r="G35" s="46">
        <f>'Estados de resultados'!F14</f>
        <v>94232188.540720284</v>
      </c>
    </row>
    <row r="36" spans="1:7" x14ac:dyDescent="0.2">
      <c r="A36" s="105"/>
      <c r="B36" s="101"/>
      <c r="C36" s="101"/>
      <c r="D36" s="101"/>
      <c r="E36" s="101"/>
      <c r="F36" s="101"/>
    </row>
    <row r="37" spans="1:7" x14ac:dyDescent="0.2">
      <c r="A37" s="103" t="s">
        <v>270</v>
      </c>
      <c r="B37" s="104">
        <f t="shared" ref="B37:G37" si="5">B33+B35+B34</f>
        <v>44631085.086459875</v>
      </c>
      <c r="C37" s="104">
        <f t="shared" si="5"/>
        <v>34983093.467080168</v>
      </c>
      <c r="D37" s="104">
        <f>D33+D35+D34</f>
        <v>44171610.488621749</v>
      </c>
      <c r="E37" s="104">
        <f t="shared" si="5"/>
        <v>76430912.303514168</v>
      </c>
      <c r="F37" s="104">
        <f t="shared" si="5"/>
        <v>136746323.22855678</v>
      </c>
      <c r="G37" s="104">
        <f t="shared" si="5"/>
        <v>230978511.76927707</v>
      </c>
    </row>
    <row r="38" spans="1:7" x14ac:dyDescent="0.2">
      <c r="A38" s="92"/>
      <c r="B38" s="92"/>
      <c r="C38" s="92"/>
      <c r="D38" s="92"/>
      <c r="E38" s="92"/>
      <c r="F38" s="92"/>
      <c r="G38" s="92"/>
    </row>
    <row r="39" spans="1:7" x14ac:dyDescent="0.2">
      <c r="A39" s="92"/>
      <c r="B39" s="92"/>
      <c r="C39" s="92"/>
      <c r="D39" s="92"/>
      <c r="E39" s="92"/>
      <c r="F39" s="92"/>
      <c r="G39" s="92"/>
    </row>
    <row r="40" spans="1:7" x14ac:dyDescent="0.2">
      <c r="A40" s="107" t="s">
        <v>271</v>
      </c>
      <c r="B40" s="108">
        <f t="shared" ref="B40:G40" si="6">B37+B29</f>
        <v>104631085.08645988</v>
      </c>
      <c r="C40" s="108">
        <f t="shared" si="6"/>
        <v>82926621.506171495</v>
      </c>
      <c r="D40" s="108">
        <f t="shared" si="6"/>
        <v>91690782.769881085</v>
      </c>
      <c r="E40" s="108">
        <f t="shared" si="6"/>
        <v>123328047.78030062</v>
      </c>
      <c r="F40" s="108">
        <f t="shared" si="6"/>
        <v>182660699.60893622</v>
      </c>
      <c r="G40" s="108">
        <f t="shared" si="6"/>
        <v>275323071.0825572</v>
      </c>
    </row>
    <row r="41" spans="1:7" x14ac:dyDescent="0.2">
      <c r="A41" s="106"/>
      <c r="B41" s="106"/>
      <c r="C41" s="106"/>
      <c r="D41" s="106"/>
      <c r="E41" s="106"/>
      <c r="F41" s="106"/>
      <c r="G41" s="106"/>
    </row>
    <row r="42" spans="1:7" x14ac:dyDescent="0.2">
      <c r="A42" s="107" t="s">
        <v>272</v>
      </c>
      <c r="B42" s="108">
        <f t="shared" ref="B42:G42" si="7">B40-B15</f>
        <v>0</v>
      </c>
      <c r="C42" s="108">
        <f t="shared" si="7"/>
        <v>0</v>
      </c>
      <c r="D42" s="108">
        <f t="shared" si="7"/>
        <v>0</v>
      </c>
      <c r="E42" s="108">
        <f t="shared" si="7"/>
        <v>0</v>
      </c>
      <c r="F42" s="108">
        <f t="shared" si="7"/>
        <v>0</v>
      </c>
      <c r="G42" s="108">
        <f t="shared" si="7"/>
        <v>0</v>
      </c>
    </row>
  </sheetData>
  <mergeCells count="3">
    <mergeCell ref="A2:G2"/>
    <mergeCell ref="A18:G18"/>
    <mergeCell ref="A32:G3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AEC9-8837-4B56-9298-BF5376192919}">
  <dimension ref="A1:J94"/>
  <sheetViews>
    <sheetView tabSelected="1" zoomScale="75" zoomScaleNormal="90" workbookViewId="0">
      <selection activeCell="B18" sqref="B18:G26"/>
    </sheetView>
  </sheetViews>
  <sheetFormatPr baseColWidth="10" defaultRowHeight="15" x14ac:dyDescent="0.2"/>
  <cols>
    <col min="1" max="1" width="36" customWidth="1"/>
    <col min="3" max="4" width="20.5" customWidth="1"/>
    <col min="5" max="5" width="25.5" bestFit="1" customWidth="1"/>
    <col min="6" max="6" width="30.33203125" customWidth="1"/>
    <col min="7" max="9" width="20.5" customWidth="1"/>
  </cols>
  <sheetData>
    <row r="1" spans="1:10" x14ac:dyDescent="0.2">
      <c r="A1" s="68"/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">
      <c r="A2" s="170" t="s">
        <v>334</v>
      </c>
      <c r="B2" s="170"/>
      <c r="C2" s="170"/>
      <c r="D2" s="170"/>
      <c r="E2" s="170"/>
      <c r="F2" s="170"/>
      <c r="G2" s="170"/>
      <c r="H2" s="170"/>
      <c r="I2" s="170"/>
      <c r="J2" s="68"/>
    </row>
    <row r="3" spans="1:10" x14ac:dyDescent="0.2">
      <c r="A3" s="68"/>
      <c r="B3" s="68"/>
      <c r="D3" s="68"/>
      <c r="E3" s="68"/>
      <c r="F3" s="68"/>
      <c r="G3" s="68"/>
      <c r="H3" s="68"/>
      <c r="I3" s="68"/>
      <c r="J3" s="68"/>
    </row>
    <row r="4" spans="1:10" ht="16" x14ac:dyDescent="0.2">
      <c r="A4" s="126" t="s">
        <v>394</v>
      </c>
      <c r="B4" s="87">
        <f>0.1017</f>
        <v>0.1017</v>
      </c>
      <c r="C4" s="46" t="s">
        <v>335</v>
      </c>
      <c r="D4" s="68"/>
      <c r="E4" s="68"/>
      <c r="F4" s="68"/>
      <c r="G4" s="68"/>
      <c r="H4" s="68"/>
      <c r="I4" s="68"/>
      <c r="J4" s="68"/>
    </row>
    <row r="5" spans="1:10" x14ac:dyDescent="0.2">
      <c r="A5" s="126" t="s">
        <v>393</v>
      </c>
      <c r="B5" s="87">
        <f>-0.44%</f>
        <v>-4.4000000000000003E-3</v>
      </c>
      <c r="C5" s="46"/>
      <c r="D5" s="68"/>
      <c r="E5" s="68"/>
      <c r="F5" s="68"/>
      <c r="G5" s="68"/>
      <c r="H5" s="68"/>
      <c r="I5" s="68"/>
      <c r="J5" s="68"/>
    </row>
    <row r="6" spans="1:10" ht="16" x14ac:dyDescent="0.2">
      <c r="A6" s="126" t="s">
        <v>391</v>
      </c>
      <c r="B6" s="147">
        <f>1.19</f>
        <v>1.19</v>
      </c>
      <c r="C6" s="46" t="s">
        <v>336</v>
      </c>
      <c r="D6" s="68" t="s">
        <v>392</v>
      </c>
      <c r="E6" s="68"/>
      <c r="F6" s="68"/>
      <c r="G6" s="68"/>
      <c r="H6" s="68"/>
      <c r="I6" s="68"/>
      <c r="J6" s="68"/>
    </row>
    <row r="7" spans="1:10" x14ac:dyDescent="0.2">
      <c r="A7" s="126" t="s">
        <v>396</v>
      </c>
      <c r="B7" s="87">
        <f>(B5-(B4))</f>
        <v>-0.1061</v>
      </c>
      <c r="C7" s="46"/>
      <c r="D7" s="68"/>
      <c r="E7" s="68"/>
      <c r="F7" s="68"/>
      <c r="G7" s="68"/>
      <c r="H7" s="68"/>
      <c r="I7" s="68"/>
      <c r="J7" s="68"/>
    </row>
    <row r="8" spans="1:10" ht="16" x14ac:dyDescent="0.2">
      <c r="A8" s="74" t="s">
        <v>337</v>
      </c>
      <c r="B8" s="125">
        <f>B4+(B6*(B7))</f>
        <v>-2.4558999999999984E-2</v>
      </c>
      <c r="C8" s="46" t="s">
        <v>336</v>
      </c>
      <c r="D8" s="68"/>
      <c r="E8" s="68"/>
      <c r="F8" s="68"/>
      <c r="G8" s="68"/>
      <c r="H8" s="68"/>
      <c r="I8" s="68"/>
      <c r="J8" s="68"/>
    </row>
    <row r="9" spans="1:10" x14ac:dyDescent="0.2">
      <c r="A9" s="74"/>
      <c r="B9" s="123"/>
      <c r="C9" s="123"/>
      <c r="D9" s="68"/>
      <c r="E9" s="68"/>
      <c r="F9" s="1"/>
      <c r="G9" s="1" t="s">
        <v>338</v>
      </c>
      <c r="H9" s="68"/>
      <c r="I9" s="68"/>
      <c r="J9" s="68"/>
    </row>
    <row r="10" spans="1:10" ht="16" x14ac:dyDescent="0.2">
      <c r="A10" s="126" t="s">
        <v>339</v>
      </c>
      <c r="B10" s="121">
        <f>((1+Préstamo!F5)^12)-1</f>
        <v>0.23580332236181256</v>
      </c>
      <c r="C10" s="46" t="s">
        <v>336</v>
      </c>
      <c r="D10" s="68"/>
      <c r="E10" s="74" t="s">
        <v>340</v>
      </c>
      <c r="F10" s="46">
        <f>'Flujo de caja'!B25</f>
        <v>44631085.086459875</v>
      </c>
      <c r="G10" s="121">
        <f>F10/$F$12</f>
        <v>0.42655664948499616</v>
      </c>
      <c r="H10" s="68"/>
      <c r="I10" s="68"/>
      <c r="J10" s="68"/>
    </row>
    <row r="11" spans="1:10" ht="16" x14ac:dyDescent="0.2">
      <c r="A11" s="126" t="s">
        <v>341</v>
      </c>
      <c r="B11" s="121">
        <v>0.32</v>
      </c>
      <c r="C11" s="46" t="s">
        <v>336</v>
      </c>
      <c r="D11" s="68"/>
      <c r="E11" s="74" t="s">
        <v>342</v>
      </c>
      <c r="F11" s="46">
        <f>'Flujo de caja'!B26</f>
        <v>60000000</v>
      </c>
      <c r="G11" s="121">
        <f>F11/$F$12</f>
        <v>0.57344335051500384</v>
      </c>
      <c r="H11" s="68"/>
      <c r="I11" s="68"/>
      <c r="J11" s="68"/>
    </row>
    <row r="12" spans="1:10" ht="16" x14ac:dyDescent="0.2">
      <c r="A12" s="74" t="s">
        <v>343</v>
      </c>
      <c r="B12" s="122">
        <f>B10*(1-B11)</f>
        <v>0.16034625920603252</v>
      </c>
      <c r="C12" s="46" t="s">
        <v>336</v>
      </c>
      <c r="D12" s="68"/>
      <c r="E12" s="74" t="s">
        <v>95</v>
      </c>
      <c r="F12" s="46">
        <f>SUM(F10:F11)</f>
        <v>104631085.08645988</v>
      </c>
      <c r="G12" s="121"/>
      <c r="H12" s="68"/>
      <c r="I12" s="68"/>
      <c r="J12" s="68"/>
    </row>
    <row r="13" spans="1:10" x14ac:dyDescent="0.2">
      <c r="A13" s="74"/>
      <c r="B13" s="124"/>
      <c r="C13" s="123"/>
      <c r="D13" s="68"/>
      <c r="E13" s="68"/>
      <c r="F13" s="68"/>
      <c r="G13" s="68"/>
      <c r="H13" s="68"/>
      <c r="I13" s="68"/>
      <c r="J13" s="68"/>
    </row>
    <row r="14" spans="1:10" ht="16" x14ac:dyDescent="0.2">
      <c r="A14" s="74" t="s">
        <v>395</v>
      </c>
      <c r="B14" s="125">
        <f>(B8*G10)+(B12*G11)</f>
        <v>8.1473691366952553E-2</v>
      </c>
      <c r="C14" s="46" t="s">
        <v>336</v>
      </c>
      <c r="D14" s="68"/>
      <c r="E14" s="68"/>
      <c r="F14" s="68"/>
      <c r="G14" s="68"/>
      <c r="H14" s="68"/>
      <c r="I14" s="68"/>
      <c r="J14" s="68"/>
    </row>
    <row r="15" spans="1:10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8"/>
    </row>
    <row r="16" spans="1:10" x14ac:dyDescent="0.2">
      <c r="A16" s="196" t="s">
        <v>344</v>
      </c>
      <c r="B16" s="196"/>
      <c r="C16" s="196"/>
      <c r="D16" s="196"/>
      <c r="E16" s="196"/>
      <c r="F16" s="196"/>
      <c r="G16" s="196"/>
      <c r="H16" s="196"/>
      <c r="I16" s="196"/>
      <c r="J16" s="68"/>
    </row>
    <row r="17" spans="1:10" x14ac:dyDescent="0.2">
      <c r="A17" s="68"/>
      <c r="B17" s="68"/>
      <c r="C17" s="68"/>
      <c r="D17" s="68"/>
      <c r="E17" s="68"/>
      <c r="F17" s="68"/>
      <c r="G17" s="68"/>
      <c r="H17" s="68"/>
    </row>
    <row r="18" spans="1:10" x14ac:dyDescent="0.2">
      <c r="A18" s="119"/>
      <c r="B18" s="212" t="s">
        <v>157</v>
      </c>
      <c r="C18" s="212"/>
      <c r="D18" s="191" t="s">
        <v>345</v>
      </c>
      <c r="E18" s="191" t="s">
        <v>346</v>
      </c>
      <c r="F18" s="191" t="s">
        <v>347</v>
      </c>
      <c r="G18" s="191" t="s">
        <v>348</v>
      </c>
      <c r="H18" s="68"/>
    </row>
    <row r="19" spans="1:10" x14ac:dyDescent="0.2">
      <c r="A19" s="68"/>
      <c r="B19" s="212"/>
      <c r="C19" s="212"/>
      <c r="D19" s="192"/>
      <c r="E19" s="192"/>
      <c r="F19" s="192"/>
      <c r="G19" s="192"/>
      <c r="H19" s="68"/>
    </row>
    <row r="20" spans="1:10" ht="16" x14ac:dyDescent="0.2">
      <c r="A20" s="68"/>
      <c r="B20" s="46" t="s">
        <v>216</v>
      </c>
      <c r="C20" s="86">
        <v>0</v>
      </c>
      <c r="D20" s="46">
        <f>'Flujo de caja'!B38</f>
        <v>-104631085.08645988</v>
      </c>
      <c r="E20" s="121">
        <f t="shared" ref="E20:E25" si="0">$B$14</f>
        <v>8.1473691366952553E-2</v>
      </c>
      <c r="F20" s="86">
        <f t="shared" ref="F20:F25" si="1">1/((1+E20)^C20)</f>
        <v>1</v>
      </c>
      <c r="G20" s="46">
        <f>D20*F20</f>
        <v>-104631085.08645988</v>
      </c>
      <c r="H20" s="68"/>
    </row>
    <row r="21" spans="1:10" ht="16" x14ac:dyDescent="0.2">
      <c r="A21" s="68"/>
      <c r="B21" s="46" t="s">
        <v>216</v>
      </c>
      <c r="C21" s="86">
        <v>1</v>
      </c>
      <c r="D21" s="46">
        <f>'Flujo de caja'!C38</f>
        <v>39408121.506171495</v>
      </c>
      <c r="E21" s="121">
        <f t="shared" si="0"/>
        <v>8.1473691366952553E-2</v>
      </c>
      <c r="F21" s="86">
        <f t="shared" si="1"/>
        <v>0.92466419477669215</v>
      </c>
      <c r="G21" s="46">
        <f>D21*F21</f>
        <v>36439278.940166108</v>
      </c>
      <c r="H21" s="68"/>
    </row>
    <row r="22" spans="1:10" ht="16" x14ac:dyDescent="0.2">
      <c r="A22" s="68"/>
      <c r="B22" s="46" t="s">
        <v>216</v>
      </c>
      <c r="C22" s="86">
        <v>2</v>
      </c>
      <c r="D22" s="46">
        <f>'Flujo de caja'!D38</f>
        <v>53358782.769881099</v>
      </c>
      <c r="E22" s="121">
        <f t="shared" si="0"/>
        <v>8.1473691366952553E-2</v>
      </c>
      <c r="F22" s="86">
        <f t="shared" si="1"/>
        <v>0.85500387310202841</v>
      </c>
      <c r="G22" s="46">
        <f>D22*F22</f>
        <v>45621965.932258122</v>
      </c>
      <c r="H22" s="68"/>
    </row>
    <row r="23" spans="1:10" ht="16" x14ac:dyDescent="0.2">
      <c r="A23" s="68"/>
      <c r="B23" s="46" t="s">
        <v>216</v>
      </c>
      <c r="C23" s="86">
        <v>3</v>
      </c>
      <c r="D23" s="46">
        <f>'Flujo de caja'!E38</f>
        <v>90182547.780300617</v>
      </c>
      <c r="E23" s="121">
        <f t="shared" si="0"/>
        <v>8.1473691366952553E-2</v>
      </c>
      <c r="F23" s="86">
        <f t="shared" si="1"/>
        <v>0.79059146785284018</v>
      </c>
      <c r="G23" s="46">
        <f>D23*F23</f>
        <v>71297552.824336752</v>
      </c>
      <c r="H23" s="68"/>
    </row>
    <row r="24" spans="1:10" ht="16" x14ac:dyDescent="0.2">
      <c r="A24" s="68"/>
      <c r="B24" s="46" t="s">
        <v>216</v>
      </c>
      <c r="C24" s="86">
        <v>4</v>
      </c>
      <c r="D24" s="46">
        <f>'Flujo de caja'!F38</f>
        <v>154701699.60893607</v>
      </c>
      <c r="E24" s="121">
        <f t="shared" si="0"/>
        <v>8.1473691366952553E-2</v>
      </c>
      <c r="F24" s="86">
        <f t="shared" si="1"/>
        <v>0.73103162301946945</v>
      </c>
      <c r="G24" s="46">
        <f t="shared" ref="G24:G25" si="2">D24*F24</f>
        <v>113091834.54899096</v>
      </c>
      <c r="H24" s="68"/>
    </row>
    <row r="25" spans="1:10" ht="16" x14ac:dyDescent="0.2">
      <c r="A25" s="68"/>
      <c r="B25" s="46" t="s">
        <v>216</v>
      </c>
      <c r="C25" s="86">
        <v>5</v>
      </c>
      <c r="D25" s="46">
        <f>'Flujo de caja'!G38</f>
        <v>252550571.08255693</v>
      </c>
      <c r="E25" s="121">
        <f t="shared" si="0"/>
        <v>8.1473691366952553E-2</v>
      </c>
      <c r="F25" s="86">
        <f t="shared" si="1"/>
        <v>0.6759587670555961</v>
      </c>
      <c r="G25" s="46">
        <f t="shared" si="2"/>
        <v>170713772.64815187</v>
      </c>
      <c r="H25" s="68"/>
    </row>
    <row r="26" spans="1:10" x14ac:dyDescent="0.2">
      <c r="A26" s="68"/>
      <c r="B26" s="193" t="s">
        <v>349</v>
      </c>
      <c r="C26" s="194"/>
      <c r="D26" s="194"/>
      <c r="E26" s="194"/>
      <c r="F26" s="195"/>
      <c r="G26" s="118">
        <f>SUM(G20:G25)</f>
        <v>332533319.80744398</v>
      </c>
      <c r="H26" s="68"/>
    </row>
    <row r="27" spans="1:10" x14ac:dyDescent="0.2">
      <c r="A27" s="68"/>
      <c r="B27" s="68"/>
      <c r="C27" s="68"/>
      <c r="D27" s="68"/>
      <c r="E27" s="68"/>
      <c r="F27" s="68"/>
      <c r="G27" s="68"/>
      <c r="H27" s="68"/>
    </row>
    <row r="28" spans="1:10" x14ac:dyDescent="0.2">
      <c r="A28" s="196" t="s">
        <v>350</v>
      </c>
      <c r="B28" s="196"/>
      <c r="C28" s="196"/>
      <c r="D28" s="196"/>
      <c r="E28" s="196"/>
      <c r="F28" s="196"/>
      <c r="G28" s="196"/>
      <c r="H28" s="196"/>
      <c r="I28" s="196"/>
    </row>
    <row r="29" spans="1:10" x14ac:dyDescent="0.2">
      <c r="A29" s="68"/>
      <c r="B29" s="68"/>
      <c r="C29" s="68"/>
      <c r="D29" s="68"/>
      <c r="E29" s="68"/>
      <c r="F29" s="68"/>
      <c r="G29" s="68"/>
      <c r="H29" s="68"/>
      <c r="J29" s="68"/>
    </row>
    <row r="30" spans="1:10" ht="16" x14ac:dyDescent="0.2">
      <c r="A30" s="119"/>
      <c r="B30" s="213" t="s">
        <v>216</v>
      </c>
      <c r="C30" s="213"/>
      <c r="D30" s="127" t="s">
        <v>351</v>
      </c>
      <c r="E30" s="127" t="s">
        <v>352</v>
      </c>
      <c r="F30" s="127" t="s">
        <v>353</v>
      </c>
      <c r="G30" s="68"/>
      <c r="H30" s="68"/>
      <c r="J30" s="68"/>
    </row>
    <row r="31" spans="1:10" x14ac:dyDescent="0.2">
      <c r="A31" s="68"/>
      <c r="B31" s="214">
        <v>0</v>
      </c>
      <c r="C31" s="215"/>
      <c r="D31" s="46">
        <f>D20</f>
        <v>-104631085.08645988</v>
      </c>
      <c r="E31" s="46">
        <f>D31</f>
        <v>-104631085.08645988</v>
      </c>
      <c r="F31" s="46">
        <f>E31</f>
        <v>-104631085.08645988</v>
      </c>
      <c r="G31" s="68"/>
      <c r="H31" s="68"/>
      <c r="I31" s="68"/>
      <c r="J31" s="68"/>
    </row>
    <row r="32" spans="1:10" x14ac:dyDescent="0.2">
      <c r="A32" s="68"/>
      <c r="B32" s="214">
        <v>1</v>
      </c>
      <c r="C32" s="215"/>
      <c r="D32" s="46">
        <f>D21</f>
        <v>39408121.506171495</v>
      </c>
      <c r="E32" s="46">
        <f>D32/((1+E20)^B32)</f>
        <v>36439278.940166108</v>
      </c>
      <c r="F32" s="46">
        <f>F31+E32</f>
        <v>-68191806.146293759</v>
      </c>
      <c r="G32" s="68"/>
      <c r="H32" s="68"/>
      <c r="I32" s="68"/>
      <c r="J32" s="68"/>
    </row>
    <row r="33" spans="1:10" x14ac:dyDescent="0.2">
      <c r="A33" s="68"/>
      <c r="B33" s="214">
        <v>2</v>
      </c>
      <c r="C33" s="215"/>
      <c r="D33" s="46">
        <f>D22</f>
        <v>53358782.769881099</v>
      </c>
      <c r="E33" s="46">
        <f>D33/((1+E21)^B33)</f>
        <v>45621965.932258122</v>
      </c>
      <c r="F33" s="46">
        <f>F32+E33</f>
        <v>-22569840.214035638</v>
      </c>
      <c r="G33" s="68"/>
      <c r="H33" s="68"/>
      <c r="I33" s="68"/>
      <c r="J33" s="68"/>
    </row>
    <row r="34" spans="1:10" x14ac:dyDescent="0.2">
      <c r="A34" s="68"/>
      <c r="B34" s="214">
        <v>3</v>
      </c>
      <c r="C34" s="215"/>
      <c r="D34" s="46">
        <f>D23</f>
        <v>90182547.780300617</v>
      </c>
      <c r="E34" s="46">
        <f>D34/((1+E22)^B34)</f>
        <v>71297552.824336752</v>
      </c>
      <c r="F34" s="46">
        <f>F33+E34</f>
        <v>48727712.610301115</v>
      </c>
      <c r="G34" s="128">
        <f>ABS(F33/E34)</f>
        <v>0.31655841357757841</v>
      </c>
      <c r="H34" s="128">
        <f>G34*12</f>
        <v>3.7987009629309409</v>
      </c>
      <c r="I34" s="68"/>
      <c r="J34" s="68"/>
    </row>
    <row r="35" spans="1:10" x14ac:dyDescent="0.2">
      <c r="A35" s="68"/>
      <c r="B35" s="214">
        <v>4</v>
      </c>
      <c r="C35" s="215"/>
      <c r="D35" s="46">
        <f t="shared" ref="D35:D36" si="3">D24</f>
        <v>154701699.60893607</v>
      </c>
      <c r="E35" s="46">
        <f>D35/((1+E23)^B35)</f>
        <v>113091834.54899096</v>
      </c>
      <c r="F35" s="46">
        <f>F34+E35</f>
        <v>161819547.15929207</v>
      </c>
      <c r="H35" s="68"/>
      <c r="I35" s="68"/>
      <c r="J35" s="68"/>
    </row>
    <row r="36" spans="1:10" x14ac:dyDescent="0.2">
      <c r="A36" s="68"/>
      <c r="B36" s="214">
        <v>5</v>
      </c>
      <c r="C36" s="215"/>
      <c r="D36" s="46">
        <f t="shared" si="3"/>
        <v>252550571.08255693</v>
      </c>
      <c r="E36" s="46">
        <f>D36/((1+E24)^B36)</f>
        <v>170713772.64815187</v>
      </c>
      <c r="F36" s="46">
        <f>F35+E36</f>
        <v>332533319.80744398</v>
      </c>
      <c r="H36" s="68"/>
      <c r="I36" s="68"/>
      <c r="J36" s="68"/>
    </row>
    <row r="37" spans="1:10" x14ac:dyDescent="0.2">
      <c r="A37" s="68"/>
      <c r="B37" s="216"/>
      <c r="C37" s="217"/>
      <c r="D37" s="217"/>
      <c r="E37" s="217"/>
      <c r="F37" s="218"/>
      <c r="G37" s="68"/>
      <c r="H37" s="68"/>
      <c r="I37" s="68"/>
      <c r="J37" s="68"/>
    </row>
    <row r="38" spans="1:10" x14ac:dyDescent="0.2">
      <c r="A38" s="68"/>
      <c r="B38" s="193" t="s">
        <v>354</v>
      </c>
      <c r="C38" s="219"/>
      <c r="D38" s="129">
        <f>IRR(D31:D36)</f>
        <v>0.65240123923077942</v>
      </c>
      <c r="E38" s="130" t="s">
        <v>355</v>
      </c>
      <c r="F38" s="68"/>
      <c r="G38" s="68"/>
      <c r="H38" s="68"/>
      <c r="I38" s="68"/>
      <c r="J38" s="68"/>
    </row>
    <row r="39" spans="1:10" x14ac:dyDescent="0.2">
      <c r="A39" s="68"/>
      <c r="B39" s="68"/>
      <c r="C39" s="68"/>
      <c r="D39" s="68"/>
      <c r="E39" s="68"/>
      <c r="F39" s="120"/>
      <c r="G39" s="120"/>
      <c r="H39" s="68"/>
      <c r="I39" s="68"/>
      <c r="J39" s="68"/>
    </row>
    <row r="40" spans="1:10" x14ac:dyDescent="0.2">
      <c r="A40" s="68"/>
      <c r="B40" s="68"/>
      <c r="C40" s="68"/>
      <c r="D40" s="68"/>
      <c r="E40" s="68"/>
      <c r="F40" s="68"/>
      <c r="G40" s="68"/>
      <c r="H40" s="68"/>
      <c r="I40" s="68"/>
      <c r="J40" s="68"/>
    </row>
    <row r="41" spans="1:10" x14ac:dyDescent="0.2">
      <c r="A41" s="68"/>
      <c r="B41" s="68"/>
      <c r="C41" s="68"/>
      <c r="D41" s="68"/>
      <c r="E41" s="68"/>
      <c r="F41" s="68"/>
      <c r="G41" s="68"/>
      <c r="H41" s="68"/>
      <c r="I41" s="68"/>
      <c r="J41" s="68"/>
    </row>
    <row r="42" spans="1:10" x14ac:dyDescent="0.2">
      <c r="A42" s="196" t="s">
        <v>356</v>
      </c>
      <c r="B42" s="196"/>
      <c r="C42" s="196"/>
      <c r="D42" s="196"/>
      <c r="E42" s="196"/>
      <c r="F42" s="196"/>
      <c r="G42" s="196"/>
      <c r="H42" s="196"/>
      <c r="I42" s="196"/>
      <c r="J42" s="68"/>
    </row>
    <row r="43" spans="1:10" x14ac:dyDescent="0.2">
      <c r="J43" s="68"/>
    </row>
    <row r="44" spans="1:10" x14ac:dyDescent="0.2">
      <c r="C44" s="207"/>
      <c r="D44" s="196" t="s">
        <v>357</v>
      </c>
      <c r="E44" s="196"/>
      <c r="F44" s="196"/>
      <c r="G44" s="196"/>
      <c r="H44" s="196"/>
      <c r="I44" s="196"/>
      <c r="J44" s="68"/>
    </row>
    <row r="45" spans="1:10" x14ac:dyDescent="0.2">
      <c r="C45" s="208"/>
      <c r="D45" s="196" t="s">
        <v>358</v>
      </c>
      <c r="E45" s="196"/>
      <c r="F45" s="196" t="s">
        <v>359</v>
      </c>
      <c r="G45" s="196"/>
      <c r="H45" s="196" t="s">
        <v>360</v>
      </c>
      <c r="I45" s="196"/>
      <c r="J45" s="68"/>
    </row>
    <row r="46" spans="1:10" x14ac:dyDescent="0.2">
      <c r="C46" s="210" t="s">
        <v>361</v>
      </c>
      <c r="D46" s="220">
        <v>0.114</v>
      </c>
      <c r="E46" s="220"/>
      <c r="F46" s="221"/>
      <c r="G46" s="221"/>
      <c r="H46" s="221">
        <v>0.15</v>
      </c>
      <c r="I46" s="221"/>
    </row>
    <row r="47" spans="1:10" x14ac:dyDescent="0.2">
      <c r="C47" s="211"/>
      <c r="D47" s="196" t="s">
        <v>362</v>
      </c>
      <c r="E47" s="196"/>
      <c r="F47" s="196" t="s">
        <v>362</v>
      </c>
      <c r="G47" s="196"/>
      <c r="H47" s="196" t="s">
        <v>362</v>
      </c>
      <c r="I47" s="196"/>
    </row>
    <row r="48" spans="1:10" x14ac:dyDescent="0.2">
      <c r="C48" s="131">
        <v>2023</v>
      </c>
      <c r="D48" s="222">
        <f>$D$31</f>
        <v>-104631085.08645988</v>
      </c>
      <c r="E48" s="223"/>
      <c r="F48" s="222">
        <f>$D$31</f>
        <v>-104631085.08645988</v>
      </c>
      <c r="G48" s="223"/>
      <c r="H48" s="222">
        <f>$D$31</f>
        <v>-104631085.08645988</v>
      </c>
      <c r="I48" s="223"/>
    </row>
    <row r="49" spans="1:9" x14ac:dyDescent="0.2">
      <c r="C49" s="131">
        <v>2024</v>
      </c>
      <c r="D49" s="224">
        <f>F49*(1-$D$46)</f>
        <v>34915595.654467948</v>
      </c>
      <c r="E49" s="224"/>
      <c r="F49" s="224">
        <f>D32</f>
        <v>39408121.506171495</v>
      </c>
      <c r="G49" s="224"/>
      <c r="H49" s="224">
        <f>F49*(1+$H$46)</f>
        <v>45319339.732097216</v>
      </c>
      <c r="I49" s="224"/>
    </row>
    <row r="50" spans="1:9" x14ac:dyDescent="0.2">
      <c r="C50" s="131">
        <v>2025</v>
      </c>
      <c r="D50" s="224">
        <f>F50*(1-$D$46)</f>
        <v>47275881.534114651</v>
      </c>
      <c r="E50" s="224"/>
      <c r="F50" s="224">
        <f>D33</f>
        <v>53358782.769881099</v>
      </c>
      <c r="G50" s="224"/>
      <c r="H50" s="224">
        <f>F50*(1+$H$46)</f>
        <v>61362600.185363263</v>
      </c>
      <c r="I50" s="224"/>
    </row>
    <row r="51" spans="1:9" x14ac:dyDescent="0.2">
      <c r="C51" s="131">
        <v>2026</v>
      </c>
      <c r="D51" s="224">
        <f>F51*(1-$D$46)</f>
        <v>79901737.333346352</v>
      </c>
      <c r="E51" s="224"/>
      <c r="F51" s="224">
        <f>D34</f>
        <v>90182547.780300617</v>
      </c>
      <c r="G51" s="224"/>
      <c r="H51" s="224">
        <f>F51*(1+$H$46)</f>
        <v>103709929.9473457</v>
      </c>
      <c r="I51" s="224"/>
    </row>
    <row r="52" spans="1:9" x14ac:dyDescent="0.2">
      <c r="C52" s="131">
        <v>2027</v>
      </c>
      <c r="D52" s="224">
        <f>F52*(1-$D$46)</f>
        <v>137065705.85351735</v>
      </c>
      <c r="E52" s="224"/>
      <c r="F52" s="224">
        <f>D35</f>
        <v>154701699.60893607</v>
      </c>
      <c r="G52" s="224"/>
      <c r="H52" s="224">
        <f>F52*(1+$H$46)</f>
        <v>177906954.55027646</v>
      </c>
      <c r="I52" s="224"/>
    </row>
    <row r="53" spans="1:9" x14ac:dyDescent="0.2">
      <c r="C53" s="131">
        <v>2028</v>
      </c>
      <c r="D53" s="224">
        <f>F53*(1-$D$46)</f>
        <v>223759805.97914544</v>
      </c>
      <c r="E53" s="224"/>
      <c r="F53" s="224">
        <f>D36</f>
        <v>252550571.08255693</v>
      </c>
      <c r="G53" s="224"/>
      <c r="H53" s="224">
        <f>F53*(1+$H$46)</f>
        <v>290433156.74494046</v>
      </c>
      <c r="I53" s="224"/>
    </row>
    <row r="54" spans="1:9" x14ac:dyDescent="0.2">
      <c r="C54" s="132" t="s">
        <v>363</v>
      </c>
      <c r="D54" s="226">
        <f>NPV(22.86%,D49:E53)+D48</f>
        <v>138283268.35405451</v>
      </c>
      <c r="E54" s="196"/>
      <c r="F54" s="226">
        <f>NPV(22.86%,F49:G53)+F48</f>
        <v>169538614.05633295</v>
      </c>
      <c r="G54" s="196"/>
      <c r="H54" s="226">
        <f>NPV(22.86%,H49:I53)+H48</f>
        <v>210664068.92775184</v>
      </c>
      <c r="I54" s="196"/>
    </row>
    <row r="55" spans="1:9" ht="16" x14ac:dyDescent="0.2">
      <c r="C55" s="140" t="s">
        <v>364</v>
      </c>
      <c r="D55" s="225">
        <f>IRR(D48:E53)</f>
        <v>0.58683791077232916</v>
      </c>
      <c r="E55" s="225"/>
      <c r="F55" s="225">
        <f>IRR(F48:G53)</f>
        <v>0.65240123923077942</v>
      </c>
      <c r="G55" s="225"/>
      <c r="H55" s="225">
        <f>IRR(H48:I53)</f>
        <v>0.73405906826375178</v>
      </c>
      <c r="I55" s="225"/>
    </row>
    <row r="58" spans="1:9" x14ac:dyDescent="0.2">
      <c r="A58" s="196" t="s">
        <v>383</v>
      </c>
      <c r="B58" s="196"/>
      <c r="C58" s="196"/>
      <c r="D58" s="196"/>
      <c r="E58" s="196"/>
      <c r="F58" s="196"/>
      <c r="G58" s="196"/>
      <c r="H58" s="196"/>
      <c r="I58" s="196"/>
    </row>
    <row r="59" spans="1:9" x14ac:dyDescent="0.2">
      <c r="A59" s="119"/>
      <c r="B59" s="119"/>
      <c r="C59" s="119"/>
      <c r="D59" s="119"/>
      <c r="E59" s="119"/>
      <c r="F59" s="119"/>
      <c r="G59" s="119"/>
      <c r="H59" s="119"/>
      <c r="I59" s="119"/>
    </row>
    <row r="60" spans="1:9" x14ac:dyDescent="0.2">
      <c r="A60" s="119"/>
      <c r="B60" s="119"/>
      <c r="C60" s="207"/>
      <c r="D60" s="170" t="s">
        <v>388</v>
      </c>
      <c r="E60" s="170"/>
      <c r="F60" s="170"/>
      <c r="G60" s="119"/>
      <c r="H60" s="119"/>
      <c r="I60" s="119"/>
    </row>
    <row r="61" spans="1:9" x14ac:dyDescent="0.2">
      <c r="C61" s="208"/>
      <c r="D61" s="74" t="s">
        <v>384</v>
      </c>
      <c r="E61" s="74" t="s">
        <v>385</v>
      </c>
      <c r="F61" s="74" t="s">
        <v>386</v>
      </c>
    </row>
    <row r="62" spans="1:9" x14ac:dyDescent="0.2">
      <c r="C62" s="131">
        <v>0</v>
      </c>
      <c r="D62" s="17">
        <f>+D48</f>
        <v>-104631085.08645988</v>
      </c>
      <c r="E62" s="2"/>
      <c r="F62" s="17">
        <f>+D62-E62</f>
        <v>-104631085.08645988</v>
      </c>
    </row>
    <row r="63" spans="1:9" x14ac:dyDescent="0.2">
      <c r="C63" s="131">
        <v>1</v>
      </c>
      <c r="D63" s="2"/>
      <c r="E63" s="17">
        <f>+D49</f>
        <v>34915595.654467948</v>
      </c>
      <c r="F63" s="17">
        <f>+F62+E63</f>
        <v>-69715489.431991935</v>
      </c>
    </row>
    <row r="64" spans="1:9" x14ac:dyDescent="0.2">
      <c r="C64" s="131">
        <v>2</v>
      </c>
      <c r="D64" s="2"/>
      <c r="E64" s="17">
        <f>+D50</f>
        <v>47275881.534114651</v>
      </c>
      <c r="F64" s="17">
        <f>+F63+E64</f>
        <v>-22439607.897877283</v>
      </c>
    </row>
    <row r="65" spans="3:6" x14ac:dyDescent="0.2">
      <c r="C65" s="131">
        <v>3</v>
      </c>
      <c r="D65" s="2"/>
      <c r="E65" s="17">
        <f>+D51</f>
        <v>79901737.333346352</v>
      </c>
      <c r="F65" s="17">
        <f t="shared" ref="F65:F67" si="4">+F64+E65</f>
        <v>57462129.435469069</v>
      </c>
    </row>
    <row r="66" spans="3:6" x14ac:dyDescent="0.2">
      <c r="C66" s="131">
        <v>4</v>
      </c>
      <c r="D66" s="2"/>
      <c r="E66" s="17">
        <f>+D52</f>
        <v>137065705.85351735</v>
      </c>
      <c r="F66" s="17">
        <f t="shared" si="4"/>
        <v>194527835.28898641</v>
      </c>
    </row>
    <row r="67" spans="3:6" x14ac:dyDescent="0.2">
      <c r="C67" s="131">
        <v>5</v>
      </c>
      <c r="D67" s="2"/>
      <c r="E67" s="17">
        <f>+D53</f>
        <v>223759805.97914544</v>
      </c>
      <c r="F67" s="17">
        <f t="shared" si="4"/>
        <v>418287641.26813185</v>
      </c>
    </row>
    <row r="68" spans="3:6" x14ac:dyDescent="0.2">
      <c r="C68" s="209"/>
      <c r="D68" s="209"/>
      <c r="E68" s="209"/>
      <c r="F68" s="209"/>
    </row>
    <row r="69" spans="3:6" x14ac:dyDescent="0.2">
      <c r="C69" s="170" t="s">
        <v>383</v>
      </c>
      <c r="D69" s="170"/>
      <c r="E69" s="205">
        <f>C64+((-D62-E63)/E64)</f>
        <v>3.474652342160657</v>
      </c>
      <c r="F69" s="206"/>
    </row>
    <row r="73" spans="3:6" x14ac:dyDescent="0.2">
      <c r="C73" s="207"/>
      <c r="D73" s="170" t="s">
        <v>387</v>
      </c>
      <c r="E73" s="170"/>
      <c r="F73" s="170"/>
    </row>
    <row r="74" spans="3:6" x14ac:dyDescent="0.2">
      <c r="C74" s="208"/>
      <c r="D74" s="74" t="s">
        <v>384</v>
      </c>
      <c r="E74" s="74" t="s">
        <v>385</v>
      </c>
      <c r="F74" s="74" t="s">
        <v>386</v>
      </c>
    </row>
    <row r="75" spans="3:6" x14ac:dyDescent="0.2">
      <c r="C75" s="131">
        <v>0</v>
      </c>
      <c r="D75" s="17">
        <f>+D20</f>
        <v>-104631085.08645988</v>
      </c>
      <c r="E75" s="2"/>
      <c r="F75" s="17">
        <f>+D75-E75</f>
        <v>-104631085.08645988</v>
      </c>
    </row>
    <row r="76" spans="3:6" x14ac:dyDescent="0.2">
      <c r="C76" s="131">
        <v>1</v>
      </c>
      <c r="D76" s="2"/>
      <c r="E76" s="17">
        <f>+D21</f>
        <v>39408121.506171495</v>
      </c>
      <c r="F76" s="17">
        <f>+F75+E76</f>
        <v>-65222963.58028838</v>
      </c>
    </row>
    <row r="77" spans="3:6" x14ac:dyDescent="0.2">
      <c r="C77" s="131">
        <v>2</v>
      </c>
      <c r="D77" s="2"/>
      <c r="E77" s="17">
        <f>+D22</f>
        <v>53358782.769881099</v>
      </c>
      <c r="F77" s="17">
        <f t="shared" ref="F77:F80" si="5">+F76+E77</f>
        <v>-11864180.810407281</v>
      </c>
    </row>
    <row r="78" spans="3:6" x14ac:dyDescent="0.2">
      <c r="C78" s="131">
        <v>3</v>
      </c>
      <c r="D78" s="2"/>
      <c r="E78" s="17">
        <f>+D23</f>
        <v>90182547.780300617</v>
      </c>
      <c r="F78" s="17">
        <f t="shared" si="5"/>
        <v>78318366.969893336</v>
      </c>
    </row>
    <row r="79" spans="3:6" x14ac:dyDescent="0.2">
      <c r="C79" s="131">
        <v>4</v>
      </c>
      <c r="D79" s="2"/>
      <c r="E79" s="17">
        <f>+D24</f>
        <v>154701699.60893607</v>
      </c>
      <c r="F79" s="17">
        <f t="shared" si="5"/>
        <v>233020066.57882941</v>
      </c>
    </row>
    <row r="80" spans="3:6" x14ac:dyDescent="0.2">
      <c r="C80" s="131">
        <v>5</v>
      </c>
      <c r="D80" s="2"/>
      <c r="E80" s="17">
        <f>+D25</f>
        <v>252550571.08255693</v>
      </c>
      <c r="F80" s="17">
        <f t="shared" si="5"/>
        <v>485570637.66138637</v>
      </c>
    </row>
    <row r="81" spans="3:6" x14ac:dyDescent="0.2">
      <c r="C81" s="209"/>
      <c r="D81" s="209"/>
      <c r="E81" s="209"/>
      <c r="F81" s="209"/>
    </row>
    <row r="82" spans="3:6" x14ac:dyDescent="0.2">
      <c r="C82" s="170" t="s">
        <v>383</v>
      </c>
      <c r="D82" s="170"/>
      <c r="E82" s="203">
        <f>C77+((-D75-E76)/E77)</f>
        <v>3.2223472911961579</v>
      </c>
      <c r="F82" s="204"/>
    </row>
    <row r="85" spans="3:6" x14ac:dyDescent="0.2">
      <c r="C85" s="207"/>
      <c r="D85" s="170" t="s">
        <v>389</v>
      </c>
      <c r="E85" s="170"/>
      <c r="F85" s="170"/>
    </row>
    <row r="86" spans="3:6" x14ac:dyDescent="0.2">
      <c r="C86" s="208"/>
      <c r="D86" s="74" t="s">
        <v>384</v>
      </c>
      <c r="E86" s="74" t="s">
        <v>385</v>
      </c>
      <c r="F86" s="74" t="s">
        <v>386</v>
      </c>
    </row>
    <row r="87" spans="3:6" x14ac:dyDescent="0.2">
      <c r="C87" s="131">
        <v>0</v>
      </c>
      <c r="D87" s="17">
        <f>+H48</f>
        <v>-104631085.08645988</v>
      </c>
      <c r="E87" s="2"/>
      <c r="F87" s="17">
        <f>+D87-E87</f>
        <v>-104631085.08645988</v>
      </c>
    </row>
    <row r="88" spans="3:6" x14ac:dyDescent="0.2">
      <c r="C88" s="131">
        <v>1</v>
      </c>
      <c r="D88" s="2"/>
      <c r="E88" s="17">
        <f>+H49</f>
        <v>45319339.732097216</v>
      </c>
      <c r="F88" s="17">
        <f>+F87+E88</f>
        <v>-59311745.354362659</v>
      </c>
    </row>
    <row r="89" spans="3:6" x14ac:dyDescent="0.2">
      <c r="C89" s="131">
        <v>2</v>
      </c>
      <c r="D89" s="2"/>
      <c r="E89" s="17">
        <f>+H50</f>
        <v>61362600.185363263</v>
      </c>
      <c r="F89" s="17">
        <f t="shared" ref="F89:F92" si="6">+F88+E89</f>
        <v>2050854.8310006037</v>
      </c>
    </row>
    <row r="90" spans="3:6" x14ac:dyDescent="0.2">
      <c r="C90" s="131">
        <v>3</v>
      </c>
      <c r="D90" s="2"/>
      <c r="E90" s="17">
        <f>+H51</f>
        <v>103709929.9473457</v>
      </c>
      <c r="F90" s="17">
        <f t="shared" si="6"/>
        <v>105760784.7783463</v>
      </c>
    </row>
    <row r="91" spans="3:6" x14ac:dyDescent="0.2">
      <c r="C91" s="131">
        <v>4</v>
      </c>
      <c r="D91" s="2"/>
      <c r="E91" s="17">
        <f>+H52</f>
        <v>177906954.55027646</v>
      </c>
      <c r="F91" s="17">
        <f t="shared" si="6"/>
        <v>283667739.32862276</v>
      </c>
    </row>
    <row r="92" spans="3:6" x14ac:dyDescent="0.2">
      <c r="C92" s="131">
        <v>5</v>
      </c>
      <c r="D92" s="2"/>
      <c r="E92" s="17">
        <f>+H53</f>
        <v>290433156.74494046</v>
      </c>
      <c r="F92" s="17">
        <f t="shared" si="6"/>
        <v>574100896.07356322</v>
      </c>
    </row>
    <row r="93" spans="3:6" x14ac:dyDescent="0.2">
      <c r="C93" s="209"/>
      <c r="D93" s="209"/>
      <c r="E93" s="209"/>
      <c r="F93" s="209"/>
    </row>
    <row r="94" spans="3:6" x14ac:dyDescent="0.2">
      <c r="C94" s="170" t="s">
        <v>383</v>
      </c>
      <c r="D94" s="170"/>
      <c r="E94" s="203">
        <f>C89+((-D87-E88)/E89)</f>
        <v>2.966578097655487</v>
      </c>
      <c r="F94" s="204"/>
    </row>
  </sheetData>
  <mergeCells count="71">
    <mergeCell ref="D55:E55"/>
    <mergeCell ref="F55:G55"/>
    <mergeCell ref="H55:I55"/>
    <mergeCell ref="D53:E53"/>
    <mergeCell ref="F53:G53"/>
    <mergeCell ref="H53:I53"/>
    <mergeCell ref="D54:E54"/>
    <mergeCell ref="F54:G54"/>
    <mergeCell ref="H54:I54"/>
    <mergeCell ref="D51:E51"/>
    <mergeCell ref="F51:G51"/>
    <mergeCell ref="H51:I51"/>
    <mergeCell ref="D52:E52"/>
    <mergeCell ref="F52:G52"/>
    <mergeCell ref="H52:I52"/>
    <mergeCell ref="D49:E49"/>
    <mergeCell ref="F49:G49"/>
    <mergeCell ref="H49:I49"/>
    <mergeCell ref="D50:E50"/>
    <mergeCell ref="F50:G50"/>
    <mergeCell ref="H50:I50"/>
    <mergeCell ref="D47:E47"/>
    <mergeCell ref="F47:G47"/>
    <mergeCell ref="H47:I47"/>
    <mergeCell ref="D48:E48"/>
    <mergeCell ref="F48:G48"/>
    <mergeCell ref="H48:I48"/>
    <mergeCell ref="D44:I44"/>
    <mergeCell ref="D45:E45"/>
    <mergeCell ref="F45:G45"/>
    <mergeCell ref="H45:I45"/>
    <mergeCell ref="D46:E46"/>
    <mergeCell ref="F46:G46"/>
    <mergeCell ref="H46:I46"/>
    <mergeCell ref="B34:C34"/>
    <mergeCell ref="B35:C35"/>
    <mergeCell ref="B36:C36"/>
    <mergeCell ref="B37:F37"/>
    <mergeCell ref="B38:C38"/>
    <mergeCell ref="C44:C45"/>
    <mergeCell ref="C46:C47"/>
    <mergeCell ref="A2:I2"/>
    <mergeCell ref="A16:I16"/>
    <mergeCell ref="B18:C19"/>
    <mergeCell ref="D18:D19"/>
    <mergeCell ref="E18:E19"/>
    <mergeCell ref="F18:F19"/>
    <mergeCell ref="G18:G19"/>
    <mergeCell ref="A42:I42"/>
    <mergeCell ref="B26:F26"/>
    <mergeCell ref="A28:I28"/>
    <mergeCell ref="B30:C30"/>
    <mergeCell ref="B31:C31"/>
    <mergeCell ref="B32:C32"/>
    <mergeCell ref="B33:C33"/>
    <mergeCell ref="D85:F85"/>
    <mergeCell ref="C94:D94"/>
    <mergeCell ref="E94:F94"/>
    <mergeCell ref="A58:I58"/>
    <mergeCell ref="C82:D82"/>
    <mergeCell ref="E82:F82"/>
    <mergeCell ref="D73:F73"/>
    <mergeCell ref="D60:F60"/>
    <mergeCell ref="C69:D69"/>
    <mergeCell ref="E69:F69"/>
    <mergeCell ref="C73:C74"/>
    <mergeCell ref="C81:F81"/>
    <mergeCell ref="C60:C61"/>
    <mergeCell ref="C68:F68"/>
    <mergeCell ref="C93:F93"/>
    <mergeCell ref="C85:C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6DD0-0023-4D10-BA8E-AD012343B547}">
  <dimension ref="B2:O120"/>
  <sheetViews>
    <sheetView topLeftCell="B75" zoomScale="75" zoomScaleNormal="90" workbookViewId="0">
      <selection activeCell="F28" sqref="F28"/>
    </sheetView>
  </sheetViews>
  <sheetFormatPr baseColWidth="10" defaultRowHeight="15" x14ac:dyDescent="0.2"/>
  <cols>
    <col min="2" max="2" width="21.5" customWidth="1"/>
    <col min="3" max="3" width="21.1640625" customWidth="1"/>
    <col min="4" max="4" width="18.5" customWidth="1"/>
    <col min="5" max="6" width="15.5" bestFit="1" customWidth="1"/>
    <col min="7" max="7" width="22.83203125" customWidth="1"/>
    <col min="8" max="11" width="15.5" bestFit="1" customWidth="1"/>
    <col min="12" max="12" width="18.5" customWidth="1"/>
    <col min="13" max="13" width="14.5" customWidth="1"/>
    <col min="14" max="14" width="16.5" bestFit="1" customWidth="1"/>
    <col min="15" max="15" width="17.5" bestFit="1" customWidth="1"/>
  </cols>
  <sheetData>
    <row r="2" spans="2:15" ht="36" customHeight="1" x14ac:dyDescent="0.2">
      <c r="B2" s="7" t="s">
        <v>280</v>
      </c>
      <c r="C2" s="109">
        <v>7.6999999999999999E-2</v>
      </c>
      <c r="E2" s="8" t="s">
        <v>375</v>
      </c>
      <c r="F2" s="109">
        <v>6.0299999999999999E-2</v>
      </c>
    </row>
    <row r="3" spans="2:15" ht="16" thickBot="1" x14ac:dyDescent="0.25"/>
    <row r="4" spans="2:15" ht="16" thickBot="1" x14ac:dyDescent="0.25">
      <c r="B4" s="164" t="s">
        <v>365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6"/>
    </row>
    <row r="5" spans="2:15" ht="20.25" customHeight="1" x14ac:dyDescent="0.2"/>
    <row r="6" spans="2:15" x14ac:dyDescent="0.2">
      <c r="B6" s="160" t="s">
        <v>366</v>
      </c>
      <c r="C6" s="160"/>
      <c r="D6" s="160"/>
      <c r="E6" s="160"/>
      <c r="G6" s="160" t="s">
        <v>367</v>
      </c>
      <c r="H6" s="160"/>
      <c r="I6" s="160"/>
      <c r="J6" s="160"/>
    </row>
    <row r="7" spans="2:15" x14ac:dyDescent="0.2">
      <c r="B7" s="1" t="s">
        <v>0</v>
      </c>
      <c r="C7" s="1" t="s">
        <v>1</v>
      </c>
      <c r="D7" s="1" t="s">
        <v>3</v>
      </c>
      <c r="E7" s="1" t="s">
        <v>2</v>
      </c>
      <c r="G7" s="1" t="s">
        <v>0</v>
      </c>
      <c r="H7" s="1" t="s">
        <v>1</v>
      </c>
      <c r="I7" s="1" t="s">
        <v>3</v>
      </c>
      <c r="J7" s="1" t="s">
        <v>2</v>
      </c>
    </row>
    <row r="8" spans="2:15" x14ac:dyDescent="0.2">
      <c r="B8" s="3" t="s">
        <v>34</v>
      </c>
      <c r="C8" s="3">
        <v>1</v>
      </c>
      <c r="D8" s="3" t="s">
        <v>80</v>
      </c>
      <c r="E8" s="76">
        <f>(C8*'Lista de precios insumos'!$H$4)/'Lista de precios insumos'!$F$4</f>
        <v>9.9888888888888889</v>
      </c>
      <c r="G8" s="3" t="s">
        <v>82</v>
      </c>
      <c r="H8" s="3">
        <v>1</v>
      </c>
      <c r="I8" s="3" t="s">
        <v>62</v>
      </c>
      <c r="J8" s="76">
        <f>(H8*'Lista de precios insumos'!$H$5)/'Lista de precios insumos'!$F$5</f>
        <v>47.61904761904762</v>
      </c>
    </row>
    <row r="9" spans="2:15" x14ac:dyDescent="0.2">
      <c r="B9" s="3" t="s">
        <v>5</v>
      </c>
      <c r="C9" s="3">
        <v>1</v>
      </c>
      <c r="D9" s="3" t="s">
        <v>3</v>
      </c>
      <c r="E9" s="76">
        <f>C9*'Lista de precios insumos'!$H$6</f>
        <v>450</v>
      </c>
      <c r="G9" s="3" t="s">
        <v>83</v>
      </c>
      <c r="H9" s="3">
        <f>50*30%</f>
        <v>15</v>
      </c>
      <c r="I9" s="3" t="s">
        <v>80</v>
      </c>
      <c r="J9" s="76">
        <f>(H9*'Lista de precios insumos'!$H$7)/'Lista de precios insumos'!$F$7</f>
        <v>120</v>
      </c>
    </row>
    <row r="10" spans="2:15" x14ac:dyDescent="0.2">
      <c r="B10" s="3" t="s">
        <v>30</v>
      </c>
      <c r="C10" s="3">
        <v>20</v>
      </c>
      <c r="D10" s="3" t="s">
        <v>62</v>
      </c>
      <c r="E10" s="76">
        <f>(C10*'Lista de precios insumos'!$E$9)/'Lista de precios insumos'!$C$9</f>
        <v>380</v>
      </c>
      <c r="G10" s="3" t="s">
        <v>84</v>
      </c>
      <c r="H10" s="3">
        <f>100*30%</f>
        <v>30</v>
      </c>
      <c r="I10" s="3" t="s">
        <v>62</v>
      </c>
      <c r="J10" s="76">
        <f>(H10*'Lista de precios insumos'!$H$8)/'Lista de precios insumos'!$F$8</f>
        <v>1770</v>
      </c>
    </row>
    <row r="11" spans="2:15" x14ac:dyDescent="0.2">
      <c r="B11" s="3" t="s">
        <v>31</v>
      </c>
      <c r="C11" s="3">
        <v>65</v>
      </c>
      <c r="D11" s="3" t="s">
        <v>62</v>
      </c>
      <c r="E11" s="76">
        <f>(C11*'Lista de precios insumos'!$E$11)/'Lista de precios insumos'!$C$11</f>
        <v>1170</v>
      </c>
      <c r="G11" s="3" t="s">
        <v>30</v>
      </c>
      <c r="H11" s="3">
        <f>40*30%</f>
        <v>12</v>
      </c>
      <c r="I11" s="3" t="s">
        <v>62</v>
      </c>
      <c r="J11" s="76">
        <f>(H11*'Lista de precios insumos'!$E$9)/'Lista de precios insumos'!$C$9</f>
        <v>228</v>
      </c>
    </row>
    <row r="12" spans="2:15" x14ac:dyDescent="0.2">
      <c r="B12" s="3" t="s">
        <v>4</v>
      </c>
      <c r="C12" s="3">
        <v>1</v>
      </c>
      <c r="D12" s="3" t="s">
        <v>3</v>
      </c>
      <c r="E12" s="76">
        <f>(C12*'Lista de precios insumos'!$E$12)/'Lista de precios insumos'!$C$12</f>
        <v>600</v>
      </c>
      <c r="G12" s="3" t="s">
        <v>81</v>
      </c>
      <c r="H12" s="3">
        <v>1</v>
      </c>
      <c r="I12" s="3" t="s">
        <v>80</v>
      </c>
      <c r="J12" s="76">
        <f>(H12*'Lista de precios insumos'!H10)/'Lista de precios insumos'!F10</f>
        <v>81.666666666666671</v>
      </c>
    </row>
    <row r="13" spans="2:15" x14ac:dyDescent="0.2">
      <c r="B13" s="3" t="s">
        <v>33</v>
      </c>
      <c r="C13" s="3">
        <v>25</v>
      </c>
      <c r="D13" s="3" t="s">
        <v>62</v>
      </c>
      <c r="E13" s="76">
        <f>(C13*'Lista de precios insumos'!$H$14)/'Lista de precios insumos'!$F$14</f>
        <v>642.85714285714289</v>
      </c>
      <c r="G13" s="3" t="s">
        <v>285</v>
      </c>
      <c r="H13" s="3">
        <v>30</v>
      </c>
      <c r="I13" s="3" t="s">
        <v>62</v>
      </c>
      <c r="J13" s="76">
        <f>(H13*'Lista de precios insumos'!E27)/'Lista de precios insumos'!C27</f>
        <v>4440</v>
      </c>
    </row>
    <row r="14" spans="2:15" x14ac:dyDescent="0.2">
      <c r="B14" s="3" t="s">
        <v>32</v>
      </c>
      <c r="C14" s="3">
        <v>1</v>
      </c>
      <c r="D14" s="3" t="s">
        <v>62</v>
      </c>
      <c r="E14" s="76">
        <f>(C14*'Lista de precios insumos'!$E$15)/'Lista de precios insumos'!$C$15</f>
        <v>88.75</v>
      </c>
      <c r="G14" s="3" t="s">
        <v>4</v>
      </c>
      <c r="H14" s="3">
        <v>1</v>
      </c>
      <c r="I14" s="3" t="s">
        <v>3</v>
      </c>
      <c r="J14" s="76">
        <f>(H14*'Lista de precios insumos'!$E$12)/'Lista de precios insumos'!$C$12</f>
        <v>600</v>
      </c>
    </row>
    <row r="15" spans="2:15" x14ac:dyDescent="0.2">
      <c r="B15" s="3" t="s">
        <v>38</v>
      </c>
      <c r="C15" s="3">
        <f>3*12</f>
        <v>36</v>
      </c>
      <c r="D15" s="3" t="s">
        <v>62</v>
      </c>
      <c r="E15" s="76">
        <f>C15*'Lista de precios insumos'!N20</f>
        <v>1602</v>
      </c>
      <c r="G15" s="3" t="s">
        <v>86</v>
      </c>
      <c r="H15" s="3">
        <f>200*30%</f>
        <v>60</v>
      </c>
      <c r="I15" s="3" t="s">
        <v>62</v>
      </c>
      <c r="J15" s="76">
        <f>(H15*'Lista de precios insumos'!$E$13)/'Lista de precios insumos'!$C$13</f>
        <v>1440</v>
      </c>
    </row>
    <row r="16" spans="2:15" x14ac:dyDescent="0.2">
      <c r="B16" s="3" t="s">
        <v>39</v>
      </c>
      <c r="C16" s="3">
        <f>2.5*12</f>
        <v>30</v>
      </c>
      <c r="D16" s="3" t="s">
        <v>62</v>
      </c>
      <c r="E16" s="76">
        <f>(C16*'Lista de precios insumos'!H20)/'Lista de precios insumos'!F20</f>
        <v>1400</v>
      </c>
      <c r="G16" s="3" t="s">
        <v>85</v>
      </c>
      <c r="H16" s="3">
        <v>1</v>
      </c>
      <c r="I16" s="3" t="s">
        <v>62</v>
      </c>
      <c r="J16" s="76">
        <f>(H16*'Lista de precios insumos'!$H$16)/'Lista de precios insumos'!$F$16</f>
        <v>41.666666666666664</v>
      </c>
    </row>
    <row r="17" spans="2:15" x14ac:dyDescent="0.2">
      <c r="B17" s="160" t="s">
        <v>6</v>
      </c>
      <c r="C17" s="160"/>
      <c r="D17" s="160"/>
      <c r="E17" s="45">
        <f>SUM(E8:E16)</f>
        <v>6343.5960317460322</v>
      </c>
      <c r="G17" s="3" t="s">
        <v>38</v>
      </c>
      <c r="H17" s="3">
        <f>3*12</f>
        <v>36</v>
      </c>
      <c r="I17" s="3" t="s">
        <v>62</v>
      </c>
      <c r="J17" s="76">
        <f>E15</f>
        <v>1602</v>
      </c>
    </row>
    <row r="18" spans="2:15" x14ac:dyDescent="0.2">
      <c r="B18" s="9"/>
      <c r="G18" s="3" t="s">
        <v>39</v>
      </c>
      <c r="H18" s="3">
        <v>30</v>
      </c>
      <c r="I18" s="3" t="s">
        <v>62</v>
      </c>
      <c r="J18" s="76">
        <f>E16</f>
        <v>1400</v>
      </c>
    </row>
    <row r="19" spans="2:15" x14ac:dyDescent="0.2">
      <c r="B19" s="10"/>
      <c r="C19" s="10"/>
      <c r="D19" s="10"/>
      <c r="E19" s="75"/>
      <c r="G19" s="160" t="s">
        <v>6</v>
      </c>
      <c r="H19" s="160"/>
      <c r="I19" s="160"/>
      <c r="J19" s="77">
        <f>SUM(J8:J18)</f>
        <v>11770.95238095238</v>
      </c>
      <c r="K19" s="75"/>
    </row>
    <row r="21" spans="2:15" x14ac:dyDescent="0.2">
      <c r="B21" s="160" t="s">
        <v>289</v>
      </c>
      <c r="C21" s="160"/>
      <c r="D21" s="160"/>
      <c r="E21" s="111">
        <v>0.79</v>
      </c>
      <c r="G21" s="160" t="s">
        <v>288</v>
      </c>
      <c r="H21" s="160"/>
      <c r="I21" s="160"/>
      <c r="J21" s="111">
        <v>0.62</v>
      </c>
      <c r="L21" s="1" t="s">
        <v>209</v>
      </c>
      <c r="M21" s="8">
        <f>(1990*12)*50%</f>
        <v>11940</v>
      </c>
    </row>
    <row r="22" spans="2:15" x14ac:dyDescent="0.2">
      <c r="B22" s="160" t="s">
        <v>24</v>
      </c>
      <c r="C22" s="160"/>
      <c r="D22" s="160"/>
      <c r="E22" s="77">
        <f>E17/(1-E21)</f>
        <v>30207.600151171588</v>
      </c>
      <c r="G22" s="160" t="s">
        <v>24</v>
      </c>
      <c r="H22" s="160"/>
      <c r="I22" s="160"/>
      <c r="J22" s="77">
        <f>J19/(1-J21)</f>
        <v>30976.190476190473</v>
      </c>
      <c r="L22" s="1" t="s">
        <v>212</v>
      </c>
      <c r="M22" s="1">
        <f>ROUNDUP((M21/12),0)</f>
        <v>995</v>
      </c>
    </row>
    <row r="24" spans="2:15" x14ac:dyDescent="0.2">
      <c r="B24" s="160" t="s">
        <v>23</v>
      </c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</row>
    <row r="25" spans="2:15" x14ac:dyDescent="0.2">
      <c r="B25" s="1"/>
      <c r="C25" s="1" t="s">
        <v>7</v>
      </c>
      <c r="D25" s="1" t="s">
        <v>8</v>
      </c>
      <c r="E25" s="1" t="s">
        <v>9</v>
      </c>
      <c r="F25" s="1" t="s">
        <v>10</v>
      </c>
      <c r="G25" s="1" t="s">
        <v>11</v>
      </c>
      <c r="H25" s="1" t="s">
        <v>12</v>
      </c>
      <c r="I25" s="1" t="s">
        <v>13</v>
      </c>
      <c r="J25" s="1" t="s">
        <v>14</v>
      </c>
      <c r="K25" s="1" t="s">
        <v>15</v>
      </c>
      <c r="L25" s="1" t="s">
        <v>16</v>
      </c>
      <c r="M25" s="1" t="s">
        <v>17</v>
      </c>
      <c r="N25" s="1" t="s">
        <v>18</v>
      </c>
      <c r="O25" s="1" t="s">
        <v>19</v>
      </c>
    </row>
    <row r="26" spans="2:15" x14ac:dyDescent="0.2">
      <c r="B26" s="1" t="s">
        <v>21</v>
      </c>
      <c r="C26" s="3">
        <f>ROUNDUP($M$22*60%,0)</f>
        <v>597</v>
      </c>
      <c r="D26" s="3">
        <f>ROUNDUP($M$22*80%,0)</f>
        <v>796</v>
      </c>
      <c r="E26" s="3">
        <f>ROUNDUP($M$22*80%,0)</f>
        <v>796</v>
      </c>
      <c r="F26" s="3">
        <f>ROUNDUP($M$22*65%,0)</f>
        <v>647</v>
      </c>
      <c r="G26" s="3">
        <f>ROUNDUP($M$22*80%,0)</f>
        <v>796</v>
      </c>
      <c r="H26" s="3">
        <f>ROUNDUP($M$22*65%,0)</f>
        <v>647</v>
      </c>
      <c r="I26" s="3">
        <f>ROUNDUP($M$22*60%,0)</f>
        <v>597</v>
      </c>
      <c r="J26" s="3">
        <f>ROUNDUP($M$22*60%,0)</f>
        <v>597</v>
      </c>
      <c r="K26" s="3">
        <f>ROUNDUP($M$22*90%,0)</f>
        <v>896</v>
      </c>
      <c r="L26" s="3">
        <f>ROUNDUP($M$22*70%,0)</f>
        <v>697</v>
      </c>
      <c r="M26" s="3">
        <f>ROUNDUP($M$22*65%,0)</f>
        <v>647</v>
      </c>
      <c r="N26" s="3">
        <f>ROUNDUP($M$22*90%,0)</f>
        <v>896</v>
      </c>
      <c r="O26" s="143">
        <f>SUM(C26:N26)</f>
        <v>8609</v>
      </c>
    </row>
    <row r="27" spans="2:15" x14ac:dyDescent="0.2">
      <c r="B27" s="1" t="s">
        <v>22</v>
      </c>
      <c r="C27" s="76">
        <f>AVERAGE($E$22,$J$22)*C26</f>
        <v>18263361.502267577</v>
      </c>
      <c r="D27" s="76">
        <f>AVERAGE($E$22,$J$22)*D26</f>
        <v>24351148.669690099</v>
      </c>
      <c r="E27" s="76">
        <f>AVERAGE($E$22,$J$22)*E26</f>
        <v>24351148.669690099</v>
      </c>
      <c r="F27" s="76">
        <f t="shared" ref="F27:N27" si="0">AVERAGE($E$22,$J$22)*F26</f>
        <v>19792956.267951626</v>
      </c>
      <c r="G27" s="76">
        <f t="shared" si="0"/>
        <v>24351148.669690099</v>
      </c>
      <c r="H27" s="76">
        <f t="shared" si="0"/>
        <v>19792956.267951626</v>
      </c>
      <c r="I27" s="76">
        <f t="shared" si="0"/>
        <v>18263361.502267577</v>
      </c>
      <c r="J27" s="76">
        <f>AVERAGE($E$22,$J$22)*J26</f>
        <v>18263361.502267577</v>
      </c>
      <c r="K27" s="76">
        <f t="shared" si="0"/>
        <v>27410338.201058201</v>
      </c>
      <c r="L27" s="76">
        <f t="shared" si="0"/>
        <v>21322551.03363568</v>
      </c>
      <c r="M27" s="76">
        <f t="shared" si="0"/>
        <v>19792956.267951626</v>
      </c>
      <c r="N27" s="76">
        <f t="shared" si="0"/>
        <v>27410338.201058201</v>
      </c>
      <c r="O27" s="76">
        <f>SUM(C27:N27)</f>
        <v>263365626.75547999</v>
      </c>
    </row>
    <row r="29" spans="2:15" x14ac:dyDescent="0.2">
      <c r="B29" s="160" t="s">
        <v>28</v>
      </c>
      <c r="C29" s="160"/>
      <c r="D29" s="160"/>
      <c r="E29" s="160"/>
      <c r="F29" s="160"/>
      <c r="G29" s="160"/>
    </row>
    <row r="30" spans="2:15" x14ac:dyDescent="0.2">
      <c r="B30" s="1" t="s">
        <v>25</v>
      </c>
      <c r="C30" s="1">
        <v>2025</v>
      </c>
      <c r="D30" s="1">
        <v>2026</v>
      </c>
      <c r="E30" s="1">
        <v>2027</v>
      </c>
      <c r="F30" s="1">
        <v>2028</v>
      </c>
      <c r="G30" s="1">
        <v>2029</v>
      </c>
    </row>
    <row r="31" spans="2:15" x14ac:dyDescent="0.2">
      <c r="B31" s="1" t="s">
        <v>26</v>
      </c>
      <c r="C31" s="112">
        <f>AVERAGE(E17,J19)*(1+$C$2)</f>
        <v>9754.6843202380951</v>
      </c>
      <c r="D31" s="112">
        <f>C31*(1+$C$2)</f>
        <v>10505.795012896428</v>
      </c>
      <c r="E31" s="112">
        <f t="shared" ref="D31:G32" si="1">D31*(1+$C$2)</f>
        <v>11314.741228889452</v>
      </c>
      <c r="F31" s="112">
        <f t="shared" si="1"/>
        <v>12185.976303513939</v>
      </c>
      <c r="G31" s="112">
        <f t="shared" si="1"/>
        <v>13124.296478884511</v>
      </c>
    </row>
    <row r="32" spans="2:15" x14ac:dyDescent="0.2">
      <c r="B32" s="1" t="s">
        <v>20</v>
      </c>
      <c r="C32" s="112">
        <f>AVERAGE(E22,J22)*(1+$C$2)</f>
        <v>32947.471252834468</v>
      </c>
      <c r="D32" s="112">
        <f t="shared" si="1"/>
        <v>35484.426539302724</v>
      </c>
      <c r="E32" s="112">
        <f t="shared" si="1"/>
        <v>38216.727382829034</v>
      </c>
      <c r="F32" s="112">
        <f t="shared" si="1"/>
        <v>41159.415391306866</v>
      </c>
      <c r="G32" s="112">
        <f t="shared" si="1"/>
        <v>44328.690376437495</v>
      </c>
    </row>
    <row r="34" spans="2:15" x14ac:dyDescent="0.2">
      <c r="B34" s="161" t="s">
        <v>35</v>
      </c>
      <c r="C34" s="162"/>
      <c r="D34" s="162"/>
      <c r="E34" s="162"/>
      <c r="F34" s="162"/>
      <c r="G34" s="163"/>
    </row>
    <row r="35" spans="2:15" x14ac:dyDescent="0.2">
      <c r="B35" s="2"/>
      <c r="C35" s="6">
        <v>2025</v>
      </c>
      <c r="D35" s="6">
        <v>2026</v>
      </c>
      <c r="E35" s="6">
        <v>2027</v>
      </c>
      <c r="F35" s="6">
        <v>2028</v>
      </c>
      <c r="G35" s="6">
        <v>2029</v>
      </c>
    </row>
    <row r="36" spans="2:15" x14ac:dyDescent="0.2">
      <c r="B36" s="1" t="s">
        <v>21</v>
      </c>
      <c r="C36" s="5">
        <f>O26*(1+$F$2)</f>
        <v>9128.1226999999999</v>
      </c>
      <c r="D36" s="5">
        <f>C36*(1+$F$2)</f>
        <v>9678.5484988099997</v>
      </c>
      <c r="E36" s="5">
        <f>D36*(1+$F$2)</f>
        <v>10262.164973288243</v>
      </c>
      <c r="F36" s="5">
        <f>E36*(1+$F$2)</f>
        <v>10880.973521177524</v>
      </c>
      <c r="G36" s="5">
        <f t="shared" ref="G36" si="2">F36*(1+$F$2)</f>
        <v>11537.096224504528</v>
      </c>
    </row>
    <row r="37" spans="2:15" x14ac:dyDescent="0.2">
      <c r="B37" s="1" t="s">
        <v>22</v>
      </c>
      <c r="C37" s="14">
        <f>(C32*C36)</f>
        <v>300748560.25059575</v>
      </c>
      <c r="D37" s="14">
        <f>(D32*D36)</f>
        <v>343437743.2131021</v>
      </c>
      <c r="E37" s="14">
        <f>(E32*E36)</f>
        <v>392186361.14177382</v>
      </c>
      <c r="F37" s="14">
        <f>(F32*F36)</f>
        <v>447854509.01995665</v>
      </c>
      <c r="G37" s="14">
        <f>(G32*G36)</f>
        <v>511424366.37922722</v>
      </c>
    </row>
    <row r="39" spans="2:15" x14ac:dyDescent="0.2">
      <c r="B39" s="161" t="s">
        <v>36</v>
      </c>
      <c r="C39" s="162"/>
      <c r="D39" s="162"/>
      <c r="E39" s="162"/>
      <c r="F39" s="162"/>
      <c r="G39" s="163"/>
    </row>
    <row r="40" spans="2:15" x14ac:dyDescent="0.2">
      <c r="B40" s="2"/>
      <c r="C40" s="6">
        <v>2025</v>
      </c>
      <c r="D40" s="6">
        <v>2026</v>
      </c>
      <c r="E40" s="6">
        <v>2027</v>
      </c>
      <c r="F40" s="6">
        <v>2028</v>
      </c>
      <c r="G40" s="6">
        <v>2029</v>
      </c>
    </row>
    <row r="41" spans="2:15" x14ac:dyDescent="0.2">
      <c r="B41" s="1" t="s">
        <v>21</v>
      </c>
      <c r="C41" s="5">
        <f>C36</f>
        <v>9128.1226999999999</v>
      </c>
      <c r="D41" s="5">
        <f>D36</f>
        <v>9678.5484988099997</v>
      </c>
      <c r="E41" s="5">
        <f>E36</f>
        <v>10262.164973288243</v>
      </c>
      <c r="F41" s="5">
        <f>F36</f>
        <v>10880.973521177524</v>
      </c>
      <c r="G41" s="5">
        <f>G36</f>
        <v>11537.096224504528</v>
      </c>
    </row>
    <row r="42" spans="2:15" x14ac:dyDescent="0.2">
      <c r="B42" s="1" t="s">
        <v>211</v>
      </c>
      <c r="C42" s="112">
        <f>C41*C31</f>
        <v>89041955.374899417</v>
      </c>
      <c r="D42" s="112">
        <f>D41*D31</f>
        <v>101680846.55087431</v>
      </c>
      <c r="E42" s="112">
        <f>E41*E31</f>
        <v>116113741.1209297</v>
      </c>
      <c r="F42" s="112">
        <f>F41*F31</f>
        <v>132595285.48823193</v>
      </c>
      <c r="G42" s="112">
        <f>G41*G31</f>
        <v>151416271.35581657</v>
      </c>
    </row>
    <row r="43" spans="2:15" ht="16" thickBot="1" x14ac:dyDescent="0.25"/>
    <row r="44" spans="2:15" ht="16" thickBot="1" x14ac:dyDescent="0.25">
      <c r="B44" s="164" t="s">
        <v>370</v>
      </c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6"/>
    </row>
    <row r="46" spans="2:15" x14ac:dyDescent="0.2">
      <c r="B46" s="160" t="s">
        <v>368</v>
      </c>
      <c r="C46" s="160"/>
      <c r="D46" s="160"/>
      <c r="E46" s="160"/>
      <c r="G46" s="160" t="s">
        <v>369</v>
      </c>
      <c r="H46" s="160"/>
      <c r="I46" s="160"/>
      <c r="J46" s="160"/>
    </row>
    <row r="47" spans="2:15" x14ac:dyDescent="0.2">
      <c r="B47" s="1" t="s">
        <v>0</v>
      </c>
      <c r="C47" s="1" t="s">
        <v>1</v>
      </c>
      <c r="D47" s="1" t="s">
        <v>3</v>
      </c>
      <c r="E47" s="1" t="s">
        <v>2</v>
      </c>
      <c r="G47" s="1" t="s">
        <v>0</v>
      </c>
      <c r="H47" s="1" t="s">
        <v>1</v>
      </c>
      <c r="I47" s="1" t="s">
        <v>3</v>
      </c>
      <c r="J47" s="1" t="s">
        <v>2</v>
      </c>
    </row>
    <row r="48" spans="2:15" x14ac:dyDescent="0.2">
      <c r="B48" s="3" t="s">
        <v>34</v>
      </c>
      <c r="C48" s="3">
        <v>1</v>
      </c>
      <c r="D48" s="3" t="s">
        <v>80</v>
      </c>
      <c r="E48" s="76">
        <f>(C48*'Lista de precios insumos'!$H$4)/'Lista de precios insumos'!$F$4</f>
        <v>9.9888888888888889</v>
      </c>
      <c r="G48" s="3" t="s">
        <v>82</v>
      </c>
      <c r="H48" s="3">
        <v>3</v>
      </c>
      <c r="I48" s="3" t="s">
        <v>62</v>
      </c>
      <c r="J48" s="76">
        <f>(H48*'Lista de precios insumos'!$H$5)/'Lista de precios insumos'!$F$5</f>
        <v>142.85714285714286</v>
      </c>
    </row>
    <row r="49" spans="2:15" x14ac:dyDescent="0.2">
      <c r="B49" s="3" t="s">
        <v>5</v>
      </c>
      <c r="C49" s="3">
        <v>3</v>
      </c>
      <c r="D49" s="3" t="s">
        <v>3</v>
      </c>
      <c r="E49" s="76">
        <f>C49*'Lista de precios insumos'!$H$6</f>
        <v>1350</v>
      </c>
      <c r="G49" s="3" t="s">
        <v>83</v>
      </c>
      <c r="H49" s="3">
        <f t="shared" ref="H49:H55" si="3">H9*100%/30%</f>
        <v>50</v>
      </c>
      <c r="I49" s="3" t="s">
        <v>80</v>
      </c>
      <c r="J49" s="76">
        <f>(H49*'Lista de precios insumos'!$H$7)/'Lista de precios insumos'!$F$7</f>
        <v>400</v>
      </c>
    </row>
    <row r="50" spans="2:15" x14ac:dyDescent="0.2">
      <c r="B50" s="3" t="s">
        <v>30</v>
      </c>
      <c r="C50" s="3">
        <v>40</v>
      </c>
      <c r="D50" s="3" t="s">
        <v>62</v>
      </c>
      <c r="E50" s="76">
        <f>(C50*'Lista de precios insumos'!$E$9)/'Lista de precios insumos'!$C$9</f>
        <v>760</v>
      </c>
      <c r="G50" s="3" t="s">
        <v>84</v>
      </c>
      <c r="H50" s="3">
        <f t="shared" si="3"/>
        <v>100</v>
      </c>
      <c r="I50" s="3" t="s">
        <v>62</v>
      </c>
      <c r="J50" s="76">
        <f>(H50*'Lista de precios insumos'!$H$8)/'Lista de precios insumos'!$F$8</f>
        <v>5900</v>
      </c>
    </row>
    <row r="51" spans="2:15" x14ac:dyDescent="0.2">
      <c r="B51" s="3" t="s">
        <v>31</v>
      </c>
      <c r="C51" s="3">
        <v>120</v>
      </c>
      <c r="D51" s="3" t="s">
        <v>62</v>
      </c>
      <c r="E51" s="76">
        <f>(C51*'Lista de precios insumos'!$E$11)/'Lista de precios insumos'!$C$11</f>
        <v>2160</v>
      </c>
      <c r="G51" s="3" t="s">
        <v>30</v>
      </c>
      <c r="H51" s="3">
        <f t="shared" si="3"/>
        <v>40</v>
      </c>
      <c r="I51" s="3" t="s">
        <v>62</v>
      </c>
      <c r="J51" s="76">
        <f>(H51*'Lista de precios insumos'!$E$9)/'Lista de precios insumos'!$C$9</f>
        <v>760</v>
      </c>
    </row>
    <row r="52" spans="2:15" x14ac:dyDescent="0.2">
      <c r="B52" s="3" t="s">
        <v>4</v>
      </c>
      <c r="C52" s="3">
        <v>3</v>
      </c>
      <c r="D52" s="3" t="s">
        <v>3</v>
      </c>
      <c r="E52" s="76">
        <f>(C52*'Lista de precios insumos'!$E$12)/'Lista de precios insumos'!$C$12</f>
        <v>1800</v>
      </c>
      <c r="G52" s="3" t="s">
        <v>81</v>
      </c>
      <c r="H52" s="3">
        <v>3</v>
      </c>
      <c r="I52" s="3" t="s">
        <v>80</v>
      </c>
      <c r="J52" s="76">
        <f>(H52*'Lista de precios insumos'!H10)/'Lista de precios insumos'!F10</f>
        <v>245</v>
      </c>
    </row>
    <row r="53" spans="2:15" x14ac:dyDescent="0.2">
      <c r="B53" s="3" t="s">
        <v>33</v>
      </c>
      <c r="C53" s="3">
        <v>150</v>
      </c>
      <c r="D53" s="3" t="s">
        <v>62</v>
      </c>
      <c r="E53" s="76">
        <f>(C53*'Lista de precios insumos'!$H$14)/'Lista de precios insumos'!$F$14</f>
        <v>3857.1428571428573</v>
      </c>
      <c r="G53" s="3" t="s">
        <v>31</v>
      </c>
      <c r="H53" s="3">
        <f t="shared" si="3"/>
        <v>100</v>
      </c>
      <c r="I53" s="3" t="s">
        <v>62</v>
      </c>
      <c r="J53" s="76">
        <f>(H53*'Lista de precios insumos'!$E$11)/'Lista de precios insumos'!$C$11</f>
        <v>1800</v>
      </c>
    </row>
    <row r="54" spans="2:15" x14ac:dyDescent="0.2">
      <c r="B54" s="3" t="s">
        <v>32</v>
      </c>
      <c r="C54" s="3">
        <v>1</v>
      </c>
      <c r="D54" s="3" t="s">
        <v>62</v>
      </c>
      <c r="E54" s="76">
        <f>(C54*'Lista de precios insumos'!$E$15)/'Lista de precios insumos'!$C$15</f>
        <v>88.75</v>
      </c>
      <c r="G54" s="3" t="s">
        <v>4</v>
      </c>
      <c r="H54" s="3">
        <v>3</v>
      </c>
      <c r="I54" s="3" t="s">
        <v>3</v>
      </c>
      <c r="J54" s="76">
        <f>(H54*'Lista de precios insumos'!$E$12)/'Lista de precios insumos'!$C$12</f>
        <v>1800</v>
      </c>
    </row>
    <row r="55" spans="2:15" x14ac:dyDescent="0.2">
      <c r="B55" s="3" t="s">
        <v>38</v>
      </c>
      <c r="C55" s="3">
        <v>72</v>
      </c>
      <c r="D55" s="3" t="s">
        <v>62</v>
      </c>
      <c r="E55" s="76">
        <f>C55*'Lista de precios insumos'!N20</f>
        <v>3204</v>
      </c>
      <c r="G55" s="3" t="s">
        <v>86</v>
      </c>
      <c r="H55" s="3">
        <f t="shared" si="3"/>
        <v>200</v>
      </c>
      <c r="I55" s="3" t="s">
        <v>62</v>
      </c>
      <c r="J55" s="76">
        <f>(H55*'Lista de precios insumos'!$E$13)/'Lista de precios insumos'!$C$13</f>
        <v>4800</v>
      </c>
    </row>
    <row r="56" spans="2:15" x14ac:dyDescent="0.2">
      <c r="B56" s="3" t="s">
        <v>39</v>
      </c>
      <c r="C56" s="3">
        <v>60</v>
      </c>
      <c r="D56" s="3" t="s">
        <v>62</v>
      </c>
      <c r="E56" s="76">
        <f>(C56*'Lista de precios insumos'!H20)/'Lista de precios insumos'!F20</f>
        <v>2800</v>
      </c>
      <c r="G56" s="3" t="s">
        <v>85</v>
      </c>
      <c r="H56" s="3">
        <v>3</v>
      </c>
      <c r="I56" s="3" t="s">
        <v>62</v>
      </c>
      <c r="J56" s="76">
        <f>(H56*'Lista de precios insumos'!$H$16)/'Lista de precios insumos'!$F$16</f>
        <v>125</v>
      </c>
    </row>
    <row r="57" spans="2:15" x14ac:dyDescent="0.2">
      <c r="B57" s="160" t="s">
        <v>6</v>
      </c>
      <c r="C57" s="160"/>
      <c r="D57" s="160"/>
      <c r="E57" s="45">
        <f>SUM(E48:E56)</f>
        <v>16029.881746031746</v>
      </c>
      <c r="G57" s="3" t="s">
        <v>38</v>
      </c>
      <c r="H57" s="3">
        <v>72</v>
      </c>
      <c r="I57" s="3" t="s">
        <v>62</v>
      </c>
      <c r="J57" s="76">
        <f>H57*'Lista de precios insumos'!N20</f>
        <v>3204</v>
      </c>
    </row>
    <row r="58" spans="2:15" x14ac:dyDescent="0.2">
      <c r="B58" s="78"/>
      <c r="C58" s="78"/>
      <c r="D58" s="78"/>
      <c r="G58" s="3" t="s">
        <v>39</v>
      </c>
      <c r="H58" s="3">
        <v>60</v>
      </c>
      <c r="I58" s="3" t="s">
        <v>62</v>
      </c>
      <c r="J58" s="76">
        <f>E56</f>
        <v>2800</v>
      </c>
    </row>
    <row r="59" spans="2:15" x14ac:dyDescent="0.2">
      <c r="B59" s="78"/>
      <c r="C59" s="78"/>
      <c r="D59" s="78"/>
      <c r="F59" s="75"/>
      <c r="G59" s="160" t="s">
        <v>6</v>
      </c>
      <c r="H59" s="160"/>
      <c r="I59" s="160"/>
      <c r="J59" s="77">
        <f>SUM(J48:J58)</f>
        <v>21976.857142857145</v>
      </c>
      <c r="K59" s="75"/>
    </row>
    <row r="61" spans="2:15" x14ac:dyDescent="0.2">
      <c r="B61" s="160" t="s">
        <v>289</v>
      </c>
      <c r="C61" s="160"/>
      <c r="D61" s="160"/>
      <c r="E61" s="111">
        <v>0.46</v>
      </c>
      <c r="G61" s="160" t="s">
        <v>288</v>
      </c>
      <c r="H61" s="160"/>
      <c r="I61" s="160"/>
      <c r="J61" s="111">
        <v>0.35</v>
      </c>
      <c r="L61" s="1" t="s">
        <v>209</v>
      </c>
      <c r="M61" s="8">
        <f>1990*12*40%</f>
        <v>9552</v>
      </c>
    </row>
    <row r="62" spans="2:15" x14ac:dyDescent="0.2">
      <c r="B62" s="160" t="s">
        <v>24</v>
      </c>
      <c r="C62" s="160"/>
      <c r="D62" s="160"/>
      <c r="E62" s="77">
        <f>E57/(1-E61)</f>
        <v>29684.966196355083</v>
      </c>
      <c r="G62" s="160" t="s">
        <v>24</v>
      </c>
      <c r="H62" s="160"/>
      <c r="I62" s="160"/>
      <c r="J62" s="77">
        <f>J59/(1-J61)</f>
        <v>33810.54945054945</v>
      </c>
      <c r="L62" s="1" t="s">
        <v>212</v>
      </c>
      <c r="M62" s="1">
        <f>ROUNDUP((M61/12),0)</f>
        <v>796</v>
      </c>
    </row>
    <row r="64" spans="2:15" x14ac:dyDescent="0.2">
      <c r="B64" s="160" t="s">
        <v>27</v>
      </c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</row>
    <row r="65" spans="2:15" x14ac:dyDescent="0.2">
      <c r="B65" s="1"/>
      <c r="C65" s="1" t="s">
        <v>7</v>
      </c>
      <c r="D65" s="1" t="s">
        <v>8</v>
      </c>
      <c r="E65" s="1" t="s">
        <v>9</v>
      </c>
      <c r="F65" s="1" t="s">
        <v>10</v>
      </c>
      <c r="G65" s="1" t="s">
        <v>11</v>
      </c>
      <c r="H65" s="1" t="s">
        <v>12</v>
      </c>
      <c r="I65" s="1" t="s">
        <v>13</v>
      </c>
      <c r="J65" s="1" t="s">
        <v>14</v>
      </c>
      <c r="K65" s="1" t="s">
        <v>15</v>
      </c>
      <c r="L65" s="1" t="s">
        <v>16</v>
      </c>
      <c r="M65" s="1" t="s">
        <v>17</v>
      </c>
      <c r="N65" s="1" t="s">
        <v>18</v>
      </c>
      <c r="O65" s="1" t="s">
        <v>19</v>
      </c>
    </row>
    <row r="66" spans="2:15" x14ac:dyDescent="0.2">
      <c r="B66" s="1" t="s">
        <v>21</v>
      </c>
      <c r="C66" s="3">
        <f>ROUNDUP($M$62*60%,0)</f>
        <v>478</v>
      </c>
      <c r="D66" s="3">
        <f>ROUNDUP($M$62*80%,0)</f>
        <v>637</v>
      </c>
      <c r="E66" s="3">
        <f>ROUNDUP($M$62*70%,0)</f>
        <v>558</v>
      </c>
      <c r="F66" s="3">
        <f>ROUNDUP($M$62*60%,0)</f>
        <v>478</v>
      </c>
      <c r="G66" s="3">
        <f>ROUNDUP($M$62*80%,0)</f>
        <v>637</v>
      </c>
      <c r="H66" s="3">
        <f>ROUNDUP($M$62*65%,0)</f>
        <v>518</v>
      </c>
      <c r="I66" s="3">
        <f>ROUNDUP($M$62*60%,0)</f>
        <v>478</v>
      </c>
      <c r="J66" s="3">
        <f>ROUNDUP($M$62*60%,0)</f>
        <v>478</v>
      </c>
      <c r="K66" s="3">
        <f>ROUNDUP($M$62*90%,0)</f>
        <v>717</v>
      </c>
      <c r="L66" s="3">
        <f>ROUNDUP($M$62*70%,0)</f>
        <v>558</v>
      </c>
      <c r="M66" s="3">
        <f>ROUNDUP($M$62*60%,0)</f>
        <v>478</v>
      </c>
      <c r="N66" s="3">
        <f>ROUNDUP($M$62*95%,0)</f>
        <v>757</v>
      </c>
      <c r="O66" s="3">
        <f>SUM(C66:N66)</f>
        <v>6772</v>
      </c>
    </row>
    <row r="67" spans="2:15" x14ac:dyDescent="0.2">
      <c r="B67" s="1" t="s">
        <v>22</v>
      </c>
      <c r="C67" s="76">
        <f>AVERAGE($E$62,$J$62)*C66</f>
        <v>15175428.239610184</v>
      </c>
      <c r="D67" s="76">
        <f>AVERAGE($E$62,$J$62)*D66</f>
        <v>20223321.733539093</v>
      </c>
      <c r="E67" s="76">
        <f t="shared" ref="E67:N67" si="4">AVERAGE($E$62,$J$62)*E66</f>
        <v>17715248.865486365</v>
      </c>
      <c r="F67" s="76">
        <f t="shared" si="4"/>
        <v>15175428.239610184</v>
      </c>
      <c r="G67" s="76">
        <f t="shared" si="4"/>
        <v>20223321.733539093</v>
      </c>
      <c r="H67" s="76">
        <f t="shared" si="4"/>
        <v>16445338.552548274</v>
      </c>
      <c r="I67" s="76">
        <f t="shared" si="4"/>
        <v>15175428.239610184</v>
      </c>
      <c r="J67" s="76">
        <f t="shared" si="4"/>
        <v>15175428.239610184</v>
      </c>
      <c r="K67" s="76">
        <f t="shared" si="4"/>
        <v>22763142.359415274</v>
      </c>
      <c r="L67" s="76">
        <f t="shared" si="4"/>
        <v>17715248.865486365</v>
      </c>
      <c r="M67" s="76">
        <f t="shared" si="4"/>
        <v>15175428.239610184</v>
      </c>
      <c r="N67" s="76">
        <f t="shared" si="4"/>
        <v>24033052.672353365</v>
      </c>
      <c r="O67" s="76">
        <f>SUM(C67:N67)</f>
        <v>214995815.98041871</v>
      </c>
    </row>
    <row r="69" spans="2:15" x14ac:dyDescent="0.2">
      <c r="B69" s="160" t="s">
        <v>28</v>
      </c>
      <c r="C69" s="160"/>
      <c r="D69" s="160"/>
      <c r="E69" s="160"/>
      <c r="F69" s="160"/>
      <c r="G69" s="160"/>
    </row>
    <row r="70" spans="2:15" x14ac:dyDescent="0.2">
      <c r="B70" s="1" t="s">
        <v>25</v>
      </c>
      <c r="C70" s="1">
        <v>2025</v>
      </c>
      <c r="D70" s="1">
        <v>2026</v>
      </c>
      <c r="E70" s="1">
        <v>2027</v>
      </c>
      <c r="F70" s="1">
        <v>2028</v>
      </c>
      <c r="G70" s="1">
        <v>2029</v>
      </c>
    </row>
    <row r="71" spans="2:15" x14ac:dyDescent="0.2">
      <c r="B71" s="1" t="s">
        <v>26</v>
      </c>
      <c r="C71" s="112">
        <f>AVERAGE(E57,J59)*(1+$C$2)</f>
        <v>20466.628891666667</v>
      </c>
      <c r="D71" s="112">
        <f t="shared" ref="D71:G72" si="5">C71*(1+$C$2)</f>
        <v>22042.559316325001</v>
      </c>
      <c r="E71" s="112">
        <f t="shared" si="5"/>
        <v>23739.836383682024</v>
      </c>
      <c r="F71" s="112">
        <f t="shared" si="5"/>
        <v>25567.80378522554</v>
      </c>
      <c r="G71" s="112">
        <f t="shared" si="5"/>
        <v>27536.524676687906</v>
      </c>
    </row>
    <row r="72" spans="2:15" x14ac:dyDescent="0.2">
      <c r="B72" s="1" t="s">
        <v>20</v>
      </c>
      <c r="C72" s="112">
        <f>AVERAGE(E62,J62)*(1+$C$2)</f>
        <v>34192.33517585809</v>
      </c>
      <c r="D72" s="112">
        <f t="shared" si="5"/>
        <v>36825.144984399165</v>
      </c>
      <c r="E72" s="112">
        <f t="shared" si="5"/>
        <v>39660.681148197902</v>
      </c>
      <c r="F72" s="112">
        <f t="shared" si="5"/>
        <v>42714.553596609141</v>
      </c>
      <c r="G72" s="112">
        <f t="shared" si="5"/>
        <v>46003.574223548043</v>
      </c>
    </row>
    <row r="74" spans="2:15" x14ac:dyDescent="0.2">
      <c r="B74" s="160" t="s">
        <v>29</v>
      </c>
      <c r="C74" s="160"/>
      <c r="D74" s="160"/>
      <c r="E74" s="160"/>
      <c r="F74" s="160"/>
      <c r="G74" s="160"/>
    </row>
    <row r="75" spans="2:15" x14ac:dyDescent="0.2">
      <c r="B75" s="2"/>
      <c r="C75" s="6">
        <v>2025</v>
      </c>
      <c r="D75" s="6">
        <v>2026</v>
      </c>
      <c r="E75" s="6">
        <v>2027</v>
      </c>
      <c r="F75" s="6">
        <v>2028</v>
      </c>
      <c r="G75" s="6">
        <v>2029</v>
      </c>
    </row>
    <row r="76" spans="2:15" x14ac:dyDescent="0.2">
      <c r="B76" s="1" t="s">
        <v>21</v>
      </c>
      <c r="C76" s="5">
        <f>O66*(1+$F$2)</f>
        <v>7180.3516</v>
      </c>
      <c r="D76" s="5">
        <f>C76*(1+$F$2)</f>
        <v>7613.3268014800005</v>
      </c>
      <c r="E76" s="5">
        <f t="shared" ref="E76:F76" si="6">D76*(1+$F$2)</f>
        <v>8072.4104076092444</v>
      </c>
      <c r="F76" s="5">
        <f t="shared" si="6"/>
        <v>8559.1767551880821</v>
      </c>
      <c r="G76" s="5">
        <f>F76*(1+$F$2)</f>
        <v>9075.2951135259227</v>
      </c>
    </row>
    <row r="77" spans="2:15" x14ac:dyDescent="0.2">
      <c r="B77" s="1" t="s">
        <v>22</v>
      </c>
      <c r="C77" s="14">
        <f>(C76*C72)</f>
        <v>245512988.58770892</v>
      </c>
      <c r="D77" s="14">
        <f>(D76*D72)</f>
        <v>280361863.27811301</v>
      </c>
      <c r="E77" s="14">
        <f>(E76*E72)</f>
        <v>320157295.27358449</v>
      </c>
      <c r="F77" s="14">
        <f>(F76*F72)</f>
        <v>365601414.25233245</v>
      </c>
      <c r="G77" s="14">
        <f>(G76*G72)</f>
        <v>417496012.35569263</v>
      </c>
    </row>
    <row r="79" spans="2:15" x14ac:dyDescent="0.2">
      <c r="B79" s="161" t="s">
        <v>36</v>
      </c>
      <c r="C79" s="162"/>
      <c r="D79" s="162"/>
      <c r="E79" s="162"/>
      <c r="F79" s="162"/>
      <c r="G79" s="163"/>
    </row>
    <row r="80" spans="2:15" x14ac:dyDescent="0.2">
      <c r="B80" s="2"/>
      <c r="C80" s="6">
        <v>2025</v>
      </c>
      <c r="D80" s="6">
        <v>2026</v>
      </c>
      <c r="E80" s="6">
        <v>2027</v>
      </c>
      <c r="F80" s="6">
        <v>2028</v>
      </c>
      <c r="G80" s="6">
        <v>2029</v>
      </c>
    </row>
    <row r="81" spans="2:15" x14ac:dyDescent="0.2">
      <c r="B81" s="1" t="s">
        <v>21</v>
      </c>
      <c r="C81" s="5">
        <f>C76</f>
        <v>7180.3516</v>
      </c>
      <c r="D81" s="5">
        <f>D76</f>
        <v>7613.3268014800005</v>
      </c>
      <c r="E81" s="5">
        <f>E76</f>
        <v>8072.4104076092444</v>
      </c>
      <c r="F81" s="5">
        <f>F76</f>
        <v>8559.1767551880821</v>
      </c>
      <c r="G81" s="5">
        <f>G76</f>
        <v>9075.2951135259227</v>
      </c>
    </row>
    <row r="82" spans="2:15" x14ac:dyDescent="0.2">
      <c r="B82" s="1" t="s">
        <v>211</v>
      </c>
      <c r="C82" s="112">
        <f>C81*C71</f>
        <v>146957591.50888497</v>
      </c>
      <c r="D82" s="112">
        <f>D81*D71</f>
        <v>167817207.61618981</v>
      </c>
      <c r="E82" s="112">
        <f>E81*E71</f>
        <v>191637702.29857537</v>
      </c>
      <c r="F82" s="112">
        <f>F81*F71</f>
        <v>218839351.83971229</v>
      </c>
      <c r="G82" s="112">
        <f>G81*G71</f>
        <v>249902087.84183174</v>
      </c>
    </row>
    <row r="83" spans="2:15" ht="16" thickBot="1" x14ac:dyDescent="0.25"/>
    <row r="84" spans="2:15" ht="16" thickBot="1" x14ac:dyDescent="0.25">
      <c r="B84" s="164" t="s">
        <v>37</v>
      </c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6"/>
    </row>
    <row r="86" spans="2:15" x14ac:dyDescent="0.2">
      <c r="B86" s="160" t="s">
        <v>390</v>
      </c>
      <c r="C86" s="160"/>
      <c r="D86" s="160"/>
      <c r="E86" s="77">
        <f>AVERAGE($E$22,$J$22,$E$62,$J$62)</f>
        <v>31169.826568566648</v>
      </c>
    </row>
    <row r="87" spans="2:15" x14ac:dyDescent="0.2">
      <c r="B87" s="161" t="s">
        <v>290</v>
      </c>
      <c r="C87" s="162"/>
      <c r="D87" s="163"/>
      <c r="E87" s="77">
        <v>35000</v>
      </c>
      <c r="G87" s="1" t="s">
        <v>209</v>
      </c>
      <c r="H87" s="3">
        <f>1990*12*10%</f>
        <v>2388</v>
      </c>
    </row>
    <row r="88" spans="2:15" x14ac:dyDescent="0.2">
      <c r="B88" s="161" t="s">
        <v>24</v>
      </c>
      <c r="C88" s="162"/>
      <c r="D88" s="163"/>
      <c r="E88" s="77">
        <f>AVERAGE($E$22,$J$22,$E$62,$J$62)+E87</f>
        <v>66169.826568566641</v>
      </c>
      <c r="G88" s="1" t="s">
        <v>212</v>
      </c>
      <c r="H88" s="1">
        <f>ROUNDUP(H87/12,0)</f>
        <v>199</v>
      </c>
    </row>
    <row r="90" spans="2:15" x14ac:dyDescent="0.2">
      <c r="B90" s="160" t="s">
        <v>210</v>
      </c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</row>
    <row r="91" spans="2:15" x14ac:dyDescent="0.2">
      <c r="B91" s="1"/>
      <c r="C91" s="1" t="s">
        <v>7</v>
      </c>
      <c r="D91" s="1" t="s">
        <v>8</v>
      </c>
      <c r="E91" s="1" t="s">
        <v>9</v>
      </c>
      <c r="F91" s="1" t="s">
        <v>10</v>
      </c>
      <c r="G91" s="1" t="s">
        <v>11</v>
      </c>
      <c r="H91" s="1" t="s">
        <v>12</v>
      </c>
      <c r="I91" s="1" t="s">
        <v>13</v>
      </c>
      <c r="J91" s="1" t="s">
        <v>14</v>
      </c>
      <c r="K91" s="1" t="s">
        <v>15</v>
      </c>
      <c r="L91" s="1" t="s">
        <v>16</v>
      </c>
      <c r="M91" s="1" t="s">
        <v>17</v>
      </c>
      <c r="N91" s="1" t="s">
        <v>18</v>
      </c>
      <c r="O91" s="1" t="s">
        <v>19</v>
      </c>
    </row>
    <row r="92" spans="2:15" x14ac:dyDescent="0.2">
      <c r="B92" s="1" t="s">
        <v>21</v>
      </c>
      <c r="C92" s="3">
        <f>ROUNDUP($H$88*50%,0)</f>
        <v>100</v>
      </c>
      <c r="D92" s="3">
        <f>ROUNDUP($H$88*70%,0)</f>
        <v>140</v>
      </c>
      <c r="E92" s="3">
        <f>ROUNDUP($H$88*80%,0)</f>
        <v>160</v>
      </c>
      <c r="F92" s="3">
        <f>ROUNDUP($H$88*70%,0)</f>
        <v>140</v>
      </c>
      <c r="G92" s="3">
        <f>ROUNDUP($H$88*85%,0)</f>
        <v>170</v>
      </c>
      <c r="H92" s="3">
        <f>ROUNDUP($H$88*70%,0)</f>
        <v>140</v>
      </c>
      <c r="I92" s="3">
        <f>ROUNDUP($H$88*70%,0)</f>
        <v>140</v>
      </c>
      <c r="J92" s="3">
        <f>ROUNDUP($H$88*70%,0)</f>
        <v>140</v>
      </c>
      <c r="K92" s="3">
        <f>ROUNDUP($H$88*90%,0)</f>
        <v>180</v>
      </c>
      <c r="L92" s="3">
        <f>ROUNDUP($H$88*80%,0)</f>
        <v>160</v>
      </c>
      <c r="M92" s="3">
        <f>ROUNDUP($H$88*80%,0)</f>
        <v>160</v>
      </c>
      <c r="N92" s="3">
        <f>ROUNDUP($H$88*95%,0)</f>
        <v>190</v>
      </c>
      <c r="O92" s="3">
        <f>SUM(C92:N92)</f>
        <v>1820</v>
      </c>
    </row>
    <row r="93" spans="2:15" x14ac:dyDescent="0.2">
      <c r="B93" s="1" t="s">
        <v>22</v>
      </c>
      <c r="C93" s="76">
        <f>$E$88*C92</f>
        <v>6616982.6568566645</v>
      </c>
      <c r="D93" s="76">
        <f>$E$88*D92</f>
        <v>9263775.7195993289</v>
      </c>
      <c r="E93" s="76">
        <f t="shared" ref="E93:N93" si="7">$E$88*E92</f>
        <v>10587172.250970662</v>
      </c>
      <c r="F93" s="76">
        <f t="shared" si="7"/>
        <v>9263775.7195993289</v>
      </c>
      <c r="G93" s="76">
        <f t="shared" si="7"/>
        <v>11248870.51665633</v>
      </c>
      <c r="H93" s="76">
        <f t="shared" si="7"/>
        <v>9263775.7195993289</v>
      </c>
      <c r="I93" s="76">
        <f t="shared" si="7"/>
        <v>9263775.7195993289</v>
      </c>
      <c r="J93" s="76">
        <f t="shared" si="7"/>
        <v>9263775.7195993289</v>
      </c>
      <c r="K93" s="76">
        <f t="shared" si="7"/>
        <v>11910568.782341996</v>
      </c>
      <c r="L93" s="76">
        <f t="shared" si="7"/>
        <v>10587172.250970662</v>
      </c>
      <c r="M93" s="76">
        <f t="shared" si="7"/>
        <v>10587172.250970662</v>
      </c>
      <c r="N93" s="76">
        <f t="shared" si="7"/>
        <v>12572267.048027663</v>
      </c>
      <c r="O93" s="4">
        <f>SUM(C93:N93)</f>
        <v>120429084.3547913</v>
      </c>
    </row>
    <row r="95" spans="2:15" x14ac:dyDescent="0.2">
      <c r="B95" s="160" t="s">
        <v>28</v>
      </c>
      <c r="C95" s="160"/>
      <c r="D95" s="160"/>
      <c r="E95" s="160"/>
      <c r="F95" s="160"/>
      <c r="G95" s="160"/>
    </row>
    <row r="96" spans="2:15" x14ac:dyDescent="0.2">
      <c r="B96" s="1" t="s">
        <v>25</v>
      </c>
      <c r="C96" s="1">
        <v>2025</v>
      </c>
      <c r="D96" s="1">
        <v>2026</v>
      </c>
      <c r="E96" s="1">
        <v>2027</v>
      </c>
      <c r="F96" s="1">
        <v>2028</v>
      </c>
      <c r="G96" s="1">
        <v>2029</v>
      </c>
    </row>
    <row r="97" spans="2:15" x14ac:dyDescent="0.2">
      <c r="B97" s="1" t="s">
        <v>26</v>
      </c>
      <c r="C97" s="112">
        <f>E86*(1+$C$2)</f>
        <v>33569.903214346275</v>
      </c>
      <c r="D97" s="112">
        <f t="shared" ref="D97:G98" si="8">C97*(1+$C$2)</f>
        <v>36154.785761850937</v>
      </c>
      <c r="E97" s="112">
        <f t="shared" si="8"/>
        <v>38938.704265513457</v>
      </c>
      <c r="F97" s="112">
        <f t="shared" si="8"/>
        <v>41936.984493957993</v>
      </c>
      <c r="G97" s="112">
        <f t="shared" si="8"/>
        <v>45166.132299992758</v>
      </c>
    </row>
    <row r="98" spans="2:15" x14ac:dyDescent="0.2">
      <c r="B98" s="1" t="s">
        <v>20</v>
      </c>
      <c r="C98" s="112">
        <f>E88*(1+$C$2)</f>
        <v>71264.903214346268</v>
      </c>
      <c r="D98" s="112">
        <f t="shared" si="8"/>
        <v>76752.300761850929</v>
      </c>
      <c r="E98" s="112">
        <f t="shared" si="8"/>
        <v>82662.227920513455</v>
      </c>
      <c r="F98" s="112">
        <f t="shared" si="8"/>
        <v>89027.219470392985</v>
      </c>
      <c r="G98" s="112">
        <f t="shared" si="8"/>
        <v>95882.315369613236</v>
      </c>
    </row>
    <row r="100" spans="2:15" x14ac:dyDescent="0.2">
      <c r="B100" s="161" t="s">
        <v>35</v>
      </c>
      <c r="C100" s="162"/>
      <c r="D100" s="162"/>
      <c r="E100" s="162"/>
      <c r="F100" s="162"/>
      <c r="G100" s="163"/>
    </row>
    <row r="101" spans="2:15" x14ac:dyDescent="0.2">
      <c r="B101" s="2"/>
      <c r="C101" s="6">
        <v>2025</v>
      </c>
      <c r="D101" s="6">
        <v>2026</v>
      </c>
      <c r="E101" s="6">
        <v>2027</v>
      </c>
      <c r="F101" s="6">
        <v>2028</v>
      </c>
      <c r="G101" s="6">
        <v>2029</v>
      </c>
    </row>
    <row r="102" spans="2:15" x14ac:dyDescent="0.2">
      <c r="B102" s="1" t="s">
        <v>21</v>
      </c>
      <c r="C102" s="5">
        <f>O92*(1+$C$2)</f>
        <v>1960.1399999999999</v>
      </c>
      <c r="D102" s="5">
        <f>C102*(1+$C$2)</f>
        <v>2111.0707799999996</v>
      </c>
      <c r="E102" s="5">
        <f>D102*(1+$C$2)</f>
        <v>2273.6232300599995</v>
      </c>
      <c r="F102" s="5">
        <f>E102*(1+$C$2)</f>
        <v>2448.6922187746195</v>
      </c>
      <c r="G102" s="5">
        <f>F102*(1+$C$2)</f>
        <v>2637.2415196202651</v>
      </c>
    </row>
    <row r="103" spans="2:15" x14ac:dyDescent="0.2">
      <c r="B103" s="1" t="s">
        <v>22</v>
      </c>
      <c r="C103" s="110">
        <f>C102*C98</f>
        <v>139689187.3865687</v>
      </c>
      <c r="D103" s="110">
        <f>D102*D98</f>
        <v>162029539.43611521</v>
      </c>
      <c r="E103" s="110">
        <f>E102*E98</f>
        <v>187942761.64859366</v>
      </c>
      <c r="F103" s="110">
        <f>F102*F98</f>
        <v>218000259.57629159</v>
      </c>
      <c r="G103" s="110">
        <f>G102*G98</f>
        <v>252864823.09006831</v>
      </c>
    </row>
    <row r="105" spans="2:15" x14ac:dyDescent="0.2">
      <c r="B105" s="161" t="s">
        <v>36</v>
      </c>
      <c r="C105" s="162"/>
      <c r="D105" s="162"/>
      <c r="E105" s="162"/>
      <c r="F105" s="162"/>
      <c r="G105" s="163"/>
    </row>
    <row r="106" spans="2:15" x14ac:dyDescent="0.2">
      <c r="B106" s="2"/>
      <c r="C106" s="6">
        <v>2025</v>
      </c>
      <c r="D106" s="6">
        <v>2026</v>
      </c>
      <c r="E106" s="6">
        <v>2027</v>
      </c>
      <c r="F106" s="6">
        <v>2028</v>
      </c>
      <c r="G106" s="6">
        <v>2029</v>
      </c>
    </row>
    <row r="107" spans="2:15" x14ac:dyDescent="0.2">
      <c r="B107" s="1" t="s">
        <v>21</v>
      </c>
      <c r="C107" s="5">
        <f>C102</f>
        <v>1960.1399999999999</v>
      </c>
      <c r="D107" s="5">
        <f>D102</f>
        <v>2111.0707799999996</v>
      </c>
      <c r="E107" s="5">
        <f>E102</f>
        <v>2273.6232300599995</v>
      </c>
      <c r="F107" s="5">
        <f>F102</f>
        <v>2448.6922187746195</v>
      </c>
      <c r="G107" s="5">
        <f>G102</f>
        <v>2637.2415196202651</v>
      </c>
    </row>
    <row r="108" spans="2:15" x14ac:dyDescent="0.2">
      <c r="B108" s="1" t="s">
        <v>211</v>
      </c>
      <c r="C108" s="112">
        <f>C107*C97</f>
        <v>65801710.086568706</v>
      </c>
      <c r="D108" s="112">
        <f>D107*D97</f>
        <v>76325311.779003531</v>
      </c>
      <c r="E108" s="112">
        <f>E107*E97</f>
        <v>88531942.566507787</v>
      </c>
      <c r="F108" s="112">
        <f>F107*F97</f>
        <v>102690767.60922681</v>
      </c>
      <c r="G108" s="112">
        <f>G107*G97</f>
        <v>119113999.38220283</v>
      </c>
    </row>
    <row r="109" spans="2:15" ht="16" thickBot="1" x14ac:dyDescent="0.25"/>
    <row r="110" spans="2:15" ht="16" thickBot="1" x14ac:dyDescent="0.25">
      <c r="B110" s="164" t="s">
        <v>19</v>
      </c>
      <c r="C110" s="165"/>
      <c r="D110" s="165"/>
      <c r="E110" s="165"/>
      <c r="F110" s="165"/>
      <c r="G110" s="165"/>
      <c r="H110" s="165"/>
      <c r="I110" s="165"/>
      <c r="J110" s="165"/>
      <c r="K110" s="165"/>
      <c r="L110" s="165"/>
      <c r="M110" s="165"/>
      <c r="N110" s="165"/>
      <c r="O110" s="166"/>
    </row>
    <row r="112" spans="2:15" x14ac:dyDescent="0.2">
      <c r="B112" s="161" t="s">
        <v>35</v>
      </c>
      <c r="C112" s="162"/>
      <c r="D112" s="162"/>
      <c r="E112" s="162"/>
      <c r="F112" s="162"/>
      <c r="G112" s="163"/>
    </row>
    <row r="113" spans="2:7" x14ac:dyDescent="0.2">
      <c r="B113" s="2"/>
      <c r="C113" s="6">
        <v>2025</v>
      </c>
      <c r="D113" s="6">
        <v>2026</v>
      </c>
      <c r="E113" s="6">
        <v>2027</v>
      </c>
      <c r="F113" s="6">
        <v>2028</v>
      </c>
      <c r="G113" s="6">
        <v>2029</v>
      </c>
    </row>
    <row r="114" spans="2:7" x14ac:dyDescent="0.2">
      <c r="B114" s="1" t="s">
        <v>21</v>
      </c>
      <c r="C114" s="5">
        <f>C36+C76+C102</f>
        <v>18268.614300000001</v>
      </c>
      <c r="D114" s="5">
        <f t="shared" ref="D114:G115" si="9">D36+D76+D102</f>
        <v>19402.946080289999</v>
      </c>
      <c r="E114" s="5">
        <f t="shared" si="9"/>
        <v>20608.198610957486</v>
      </c>
      <c r="F114" s="5">
        <f t="shared" si="9"/>
        <v>21888.842495140227</v>
      </c>
      <c r="G114" s="5">
        <f t="shared" si="9"/>
        <v>23249.632857650715</v>
      </c>
    </row>
    <row r="115" spans="2:7" x14ac:dyDescent="0.2">
      <c r="B115" s="1" t="s">
        <v>22</v>
      </c>
      <c r="C115" s="76">
        <f>C37+C77+C103</f>
        <v>685950736.2248733</v>
      </c>
      <c r="D115" s="76">
        <f>D37+D77+D103</f>
        <v>785829145.92733026</v>
      </c>
      <c r="E115" s="76">
        <f t="shared" si="9"/>
        <v>900286418.06395197</v>
      </c>
      <c r="F115" s="76">
        <f t="shared" si="9"/>
        <v>1031456182.8485806</v>
      </c>
      <c r="G115" s="76">
        <f t="shared" si="9"/>
        <v>1181785201.8249881</v>
      </c>
    </row>
    <row r="117" spans="2:7" x14ac:dyDescent="0.2">
      <c r="B117" s="161" t="s">
        <v>36</v>
      </c>
      <c r="C117" s="162"/>
      <c r="D117" s="162"/>
      <c r="E117" s="162"/>
      <c r="F117" s="162"/>
      <c r="G117" s="163"/>
    </row>
    <row r="118" spans="2:7" x14ac:dyDescent="0.2">
      <c r="B118" s="2"/>
      <c r="C118" s="6">
        <v>2025</v>
      </c>
      <c r="D118" s="6">
        <v>2026</v>
      </c>
      <c r="E118" s="6">
        <v>2027</v>
      </c>
      <c r="F118" s="6">
        <v>2028</v>
      </c>
      <c r="G118" s="6">
        <v>2029</v>
      </c>
    </row>
    <row r="119" spans="2:7" x14ac:dyDescent="0.2">
      <c r="B119" s="1" t="s">
        <v>21</v>
      </c>
      <c r="C119" s="5">
        <f t="shared" ref="C119:G120" si="10">C41+C81+C107</f>
        <v>18268.614300000001</v>
      </c>
      <c r="D119" s="5">
        <f t="shared" si="10"/>
        <v>19402.946080289999</v>
      </c>
      <c r="E119" s="5">
        <f t="shared" si="10"/>
        <v>20608.198610957486</v>
      </c>
      <c r="F119" s="5">
        <f t="shared" si="10"/>
        <v>21888.842495140227</v>
      </c>
      <c r="G119" s="5">
        <f t="shared" si="10"/>
        <v>23249.632857650715</v>
      </c>
    </row>
    <row r="120" spans="2:7" x14ac:dyDescent="0.2">
      <c r="B120" s="1" t="s">
        <v>211</v>
      </c>
      <c r="C120" s="76">
        <f>C42+C82+C108</f>
        <v>301801256.97035307</v>
      </c>
      <c r="D120" s="76">
        <f t="shared" si="10"/>
        <v>345823365.94606769</v>
      </c>
      <c r="E120" s="76">
        <f t="shared" si="10"/>
        <v>396283385.98601282</v>
      </c>
      <c r="F120" s="76">
        <f t="shared" si="10"/>
        <v>454125404.93717104</v>
      </c>
      <c r="G120" s="76">
        <f t="shared" si="10"/>
        <v>520432358.57985115</v>
      </c>
    </row>
  </sheetData>
  <mergeCells count="37">
    <mergeCell ref="B29:G29"/>
    <mergeCell ref="B4:O4"/>
    <mergeCell ref="G6:J6"/>
    <mergeCell ref="G19:I19"/>
    <mergeCell ref="B6:E6"/>
    <mergeCell ref="B24:O24"/>
    <mergeCell ref="B21:D21"/>
    <mergeCell ref="B22:D22"/>
    <mergeCell ref="B17:D17"/>
    <mergeCell ref="G21:I21"/>
    <mergeCell ref="G22:I22"/>
    <mergeCell ref="B34:G34"/>
    <mergeCell ref="B44:O44"/>
    <mergeCell ref="B46:E46"/>
    <mergeCell ref="B57:D57"/>
    <mergeCell ref="B61:D61"/>
    <mergeCell ref="G46:J46"/>
    <mergeCell ref="G59:I59"/>
    <mergeCell ref="G61:I61"/>
    <mergeCell ref="B84:O84"/>
    <mergeCell ref="B69:G69"/>
    <mergeCell ref="B74:G74"/>
    <mergeCell ref="B39:G39"/>
    <mergeCell ref="B79:G79"/>
    <mergeCell ref="B62:D62"/>
    <mergeCell ref="B64:O64"/>
    <mergeCell ref="G62:I62"/>
    <mergeCell ref="B86:D86"/>
    <mergeCell ref="B112:G112"/>
    <mergeCell ref="B117:G117"/>
    <mergeCell ref="B87:D87"/>
    <mergeCell ref="B88:D88"/>
    <mergeCell ref="B90:O90"/>
    <mergeCell ref="B110:O110"/>
    <mergeCell ref="B95:G95"/>
    <mergeCell ref="B100:G100"/>
    <mergeCell ref="B105:G105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8861-E1C8-41C1-ACCF-9319EC094739}">
  <dimension ref="C2:G31"/>
  <sheetViews>
    <sheetView zoomScale="83" zoomScaleNormal="70" workbookViewId="0">
      <selection activeCell="J14" sqref="J14"/>
    </sheetView>
  </sheetViews>
  <sheetFormatPr baseColWidth="10" defaultRowHeight="15" x14ac:dyDescent="0.2"/>
  <cols>
    <col min="3" max="3" width="24.5" customWidth="1"/>
    <col min="4" max="4" width="22.5" customWidth="1"/>
    <col min="5" max="5" width="46.5" customWidth="1"/>
    <col min="6" max="6" width="18.83203125" customWidth="1"/>
    <col min="7" max="7" width="18.33203125" customWidth="1"/>
  </cols>
  <sheetData>
    <row r="2" spans="3:7" x14ac:dyDescent="0.2">
      <c r="C2" s="170" t="s">
        <v>40</v>
      </c>
      <c r="D2" s="170"/>
      <c r="E2" s="170"/>
      <c r="F2" s="170"/>
      <c r="G2" s="170"/>
    </row>
    <row r="3" spans="3:7" ht="30.75" customHeight="1" x14ac:dyDescent="0.2">
      <c r="C3" s="90" t="s">
        <v>57</v>
      </c>
      <c r="D3" s="90" t="s">
        <v>41</v>
      </c>
      <c r="E3" s="90" t="s">
        <v>58</v>
      </c>
      <c r="F3" s="90" t="s">
        <v>42</v>
      </c>
      <c r="G3" s="90" t="s">
        <v>43</v>
      </c>
    </row>
    <row r="4" spans="3:7" x14ac:dyDescent="0.2">
      <c r="C4" s="3" t="s">
        <v>203</v>
      </c>
      <c r="D4" s="3" t="s">
        <v>44</v>
      </c>
      <c r="E4" s="3" t="s">
        <v>316</v>
      </c>
      <c r="F4" s="45">
        <v>3500000</v>
      </c>
      <c r="G4" s="45">
        <v>5139736</v>
      </c>
    </row>
    <row r="5" spans="3:7" x14ac:dyDescent="0.2">
      <c r="C5" s="173" t="s">
        <v>50</v>
      </c>
      <c r="D5" s="3" t="s">
        <v>52</v>
      </c>
      <c r="E5" s="3" t="s">
        <v>59</v>
      </c>
      <c r="F5" s="45">
        <v>1800000</v>
      </c>
      <c r="G5" s="45">
        <v>2843261.352</v>
      </c>
    </row>
    <row r="6" spans="3:7" x14ac:dyDescent="0.2">
      <c r="C6" s="174"/>
      <c r="D6" s="3" t="s">
        <v>51</v>
      </c>
      <c r="E6" s="3" t="s">
        <v>59</v>
      </c>
      <c r="F6" s="45">
        <v>1400000</v>
      </c>
      <c r="G6" s="45">
        <v>2253782.952</v>
      </c>
    </row>
    <row r="7" spans="3:7" x14ac:dyDescent="0.2">
      <c r="C7" s="3" t="s">
        <v>45</v>
      </c>
      <c r="D7" s="3" t="s">
        <v>372</v>
      </c>
      <c r="E7" s="3" t="s">
        <v>61</v>
      </c>
      <c r="F7" s="45">
        <f>2*1600000</f>
        <v>3200000</v>
      </c>
      <c r="G7" s="45">
        <f>2540202.152*2</f>
        <v>5080404.3039999995</v>
      </c>
    </row>
    <row r="8" spans="3:7" x14ac:dyDescent="0.2">
      <c r="C8" s="3" t="s">
        <v>48</v>
      </c>
      <c r="D8" s="3" t="s">
        <v>49</v>
      </c>
      <c r="E8" s="3" t="s">
        <v>60</v>
      </c>
      <c r="F8" s="45">
        <v>2000000</v>
      </c>
      <c r="G8" s="45">
        <v>2936992</v>
      </c>
    </row>
    <row r="9" spans="3:7" x14ac:dyDescent="0.2">
      <c r="C9" s="3" t="s">
        <v>47</v>
      </c>
      <c r="D9" s="3" t="s">
        <v>53</v>
      </c>
      <c r="E9" s="3" t="s">
        <v>63</v>
      </c>
      <c r="F9" s="45">
        <v>2000000</v>
      </c>
      <c r="G9" s="45">
        <v>3127600.5520000001</v>
      </c>
    </row>
    <row r="10" spans="3:7" ht="17.5" customHeight="1" x14ac:dyDescent="0.2"/>
    <row r="11" spans="3:7" x14ac:dyDescent="0.2">
      <c r="C11" s="171" t="s">
        <v>54</v>
      </c>
      <c r="D11" s="171"/>
      <c r="E11" s="171"/>
      <c r="F11" s="171"/>
    </row>
    <row r="12" spans="3:7" x14ac:dyDescent="0.2">
      <c r="C12" s="32" t="s">
        <v>41</v>
      </c>
      <c r="D12" s="32" t="s">
        <v>42</v>
      </c>
      <c r="E12" s="32" t="s">
        <v>43</v>
      </c>
      <c r="F12" s="32" t="s">
        <v>66</v>
      </c>
    </row>
    <row r="13" spans="3:7" x14ac:dyDescent="0.2">
      <c r="C13" s="3" t="s">
        <v>44</v>
      </c>
      <c r="D13" s="76">
        <f>70%*F4</f>
        <v>2450000</v>
      </c>
      <c r="E13" s="76">
        <f>70%*G4</f>
        <v>3597815.1999999997</v>
      </c>
      <c r="F13" s="45">
        <f>E13*12</f>
        <v>43173782.399999999</v>
      </c>
    </row>
    <row r="14" spans="3:7" x14ac:dyDescent="0.2">
      <c r="C14" s="3" t="s">
        <v>49</v>
      </c>
      <c r="D14" s="76">
        <f>100%*F8</f>
        <v>2000000</v>
      </c>
      <c r="E14" s="76">
        <f>100%*G8</f>
        <v>2936992</v>
      </c>
      <c r="F14" s="45">
        <f>E14*12</f>
        <v>35243904</v>
      </c>
    </row>
    <row r="15" spans="3:7" x14ac:dyDescent="0.2">
      <c r="C15" s="3" t="s">
        <v>64</v>
      </c>
      <c r="D15" s="76">
        <f>30%*F9</f>
        <v>600000</v>
      </c>
      <c r="E15" s="76">
        <f>30%*G9</f>
        <v>938280.16560000007</v>
      </c>
      <c r="F15" s="45">
        <f>E15*12</f>
        <v>11259361.987200001</v>
      </c>
    </row>
    <row r="16" spans="3:7" x14ac:dyDescent="0.2">
      <c r="C16" s="171" t="s">
        <v>55</v>
      </c>
      <c r="D16" s="171"/>
      <c r="E16" s="171"/>
      <c r="F16" s="171"/>
    </row>
    <row r="17" spans="3:6" x14ac:dyDescent="0.2">
      <c r="C17" s="32" t="s">
        <v>41</v>
      </c>
      <c r="D17" s="32" t="s">
        <v>42</v>
      </c>
      <c r="E17" s="32" t="s">
        <v>43</v>
      </c>
      <c r="F17" s="32" t="s">
        <v>66</v>
      </c>
    </row>
    <row r="18" spans="3:6" x14ac:dyDescent="0.2">
      <c r="C18" s="3" t="s">
        <v>44</v>
      </c>
      <c r="D18" s="76">
        <f>15%*F4</f>
        <v>525000</v>
      </c>
      <c r="E18" s="76">
        <f>15%*G4</f>
        <v>770960.4</v>
      </c>
      <c r="F18" s="45">
        <f>E18*12</f>
        <v>9251524.8000000007</v>
      </c>
    </row>
    <row r="19" spans="3:6" x14ac:dyDescent="0.2">
      <c r="C19" s="3" t="s">
        <v>46</v>
      </c>
      <c r="D19" s="76">
        <f>100%*F7</f>
        <v>3200000</v>
      </c>
      <c r="E19" s="76">
        <f>100%*G7</f>
        <v>5080404.3039999995</v>
      </c>
      <c r="F19" s="45">
        <f>E19*12</f>
        <v>60964851.647999994</v>
      </c>
    </row>
    <row r="20" spans="3:6" x14ac:dyDescent="0.2">
      <c r="C20" s="3" t="s">
        <v>65</v>
      </c>
      <c r="D20" s="76">
        <f>70%*F9</f>
        <v>1400000</v>
      </c>
      <c r="E20" s="76">
        <f>70%*G9</f>
        <v>2189320.3864000002</v>
      </c>
      <c r="F20" s="45">
        <f>E20*12</f>
        <v>26271844.636800002</v>
      </c>
    </row>
    <row r="21" spans="3:6" x14ac:dyDescent="0.2">
      <c r="C21" s="170" t="s">
        <v>277</v>
      </c>
      <c r="D21" s="170"/>
      <c r="E21" s="170"/>
      <c r="F21" s="170"/>
    </row>
    <row r="22" spans="3:6" x14ac:dyDescent="0.2">
      <c r="C22" s="171" t="s">
        <v>203</v>
      </c>
      <c r="D22" s="171"/>
      <c r="E22" s="171"/>
      <c r="F22" s="171"/>
    </row>
    <row r="23" spans="3:6" x14ac:dyDescent="0.2">
      <c r="C23" s="32" t="s">
        <v>41</v>
      </c>
      <c r="D23" s="32" t="s">
        <v>42</v>
      </c>
      <c r="E23" s="32" t="s">
        <v>43</v>
      </c>
      <c r="F23" s="32" t="s">
        <v>66</v>
      </c>
    </row>
    <row r="24" spans="3:6" x14ac:dyDescent="0.2">
      <c r="C24" s="3" t="s">
        <v>44</v>
      </c>
      <c r="D24" s="76">
        <f>15%*F4</f>
        <v>525000</v>
      </c>
      <c r="E24" s="76">
        <f>15%*G4</f>
        <v>770960.4</v>
      </c>
      <c r="F24" s="45">
        <f>E24*12</f>
        <v>9251524.8000000007</v>
      </c>
    </row>
    <row r="26" spans="3:6" x14ac:dyDescent="0.2">
      <c r="C26" s="167" t="s">
        <v>278</v>
      </c>
      <c r="D26" s="168"/>
      <c r="E26" s="168"/>
      <c r="F26" s="169"/>
    </row>
    <row r="27" spans="3:6" x14ac:dyDescent="0.2">
      <c r="C27" s="171" t="s">
        <v>56</v>
      </c>
      <c r="D27" s="171"/>
      <c r="E27" s="171"/>
      <c r="F27" s="171"/>
    </row>
    <row r="28" spans="3:6" x14ac:dyDescent="0.2">
      <c r="C28" s="32" t="s">
        <v>41</v>
      </c>
      <c r="D28" s="32" t="s">
        <v>42</v>
      </c>
      <c r="E28" s="32" t="s">
        <v>43</v>
      </c>
      <c r="F28" s="32" t="s">
        <v>66</v>
      </c>
    </row>
    <row r="29" spans="3:6" x14ac:dyDescent="0.2">
      <c r="C29" s="3" t="s">
        <v>52</v>
      </c>
      <c r="D29" s="76">
        <f>100%*F5</f>
        <v>1800000</v>
      </c>
      <c r="E29" s="76">
        <f>100%*G5</f>
        <v>2843261.352</v>
      </c>
      <c r="F29" s="45">
        <f>E29*12</f>
        <v>34119136.223999999</v>
      </c>
    </row>
    <row r="30" spans="3:6" x14ac:dyDescent="0.2">
      <c r="C30" s="3" t="s">
        <v>51</v>
      </c>
      <c r="D30" s="76">
        <f>100%*F6</f>
        <v>1400000</v>
      </c>
      <c r="E30" s="76">
        <f>100%*G6</f>
        <v>2253782.952</v>
      </c>
      <c r="F30" s="45">
        <f>E30*12</f>
        <v>27045395.424000002</v>
      </c>
    </row>
    <row r="31" spans="3:6" x14ac:dyDescent="0.2">
      <c r="C31" s="172" t="s">
        <v>279</v>
      </c>
      <c r="D31" s="172"/>
      <c r="E31" s="172"/>
      <c r="F31" s="113">
        <f>F29+F30</f>
        <v>61164531.648000002</v>
      </c>
    </row>
  </sheetData>
  <mergeCells count="9">
    <mergeCell ref="C26:F26"/>
    <mergeCell ref="C2:G2"/>
    <mergeCell ref="C22:F22"/>
    <mergeCell ref="C31:E31"/>
    <mergeCell ref="C5:C6"/>
    <mergeCell ref="C11:F11"/>
    <mergeCell ref="C16:F16"/>
    <mergeCell ref="C27:F27"/>
    <mergeCell ref="C21:F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CF10-01DD-4B77-853A-DCA7BCDBB103}">
  <dimension ref="C2:J82"/>
  <sheetViews>
    <sheetView topLeftCell="A47" zoomScale="90" zoomScaleNormal="90" workbookViewId="0">
      <selection activeCell="C68" sqref="C68:D82"/>
    </sheetView>
  </sheetViews>
  <sheetFormatPr baseColWidth="10" defaultRowHeight="15" x14ac:dyDescent="0.2"/>
  <cols>
    <col min="3" max="3" width="43.83203125" customWidth="1"/>
    <col min="4" max="5" width="19.1640625" customWidth="1"/>
    <col min="6" max="6" width="21" customWidth="1"/>
    <col min="7" max="7" width="22.33203125" customWidth="1"/>
    <col min="8" max="8" width="22.1640625" customWidth="1"/>
    <col min="9" max="9" width="20.5" customWidth="1"/>
  </cols>
  <sheetData>
    <row r="2" spans="3:9" x14ac:dyDescent="0.2">
      <c r="C2" s="170" t="s">
        <v>67</v>
      </c>
      <c r="D2" s="170"/>
      <c r="E2" s="170"/>
      <c r="F2" s="170"/>
      <c r="G2" s="170"/>
      <c r="H2" s="170"/>
      <c r="I2" s="170"/>
    </row>
    <row r="3" spans="3:9" x14ac:dyDescent="0.2">
      <c r="C3" s="1" t="s">
        <v>25</v>
      </c>
      <c r="D3" s="1" t="s">
        <v>2</v>
      </c>
      <c r="E3" s="1" t="s">
        <v>96</v>
      </c>
      <c r="F3" s="1" t="s">
        <v>72</v>
      </c>
      <c r="G3" s="1" t="s">
        <v>73</v>
      </c>
      <c r="H3" s="1" t="s">
        <v>74</v>
      </c>
      <c r="I3" s="1" t="s">
        <v>95</v>
      </c>
    </row>
    <row r="4" spans="3:9" x14ac:dyDescent="0.2">
      <c r="C4" s="3" t="s">
        <v>68</v>
      </c>
      <c r="D4" s="17">
        <f>D15</f>
        <v>18000000</v>
      </c>
      <c r="E4" s="16">
        <f>D4/$D$8</f>
        <v>0.36957191253464738</v>
      </c>
      <c r="F4" s="18">
        <f>SUMPRODUCT($E$12:$E$14,F12:F14)</f>
        <v>0.16666666666666666</v>
      </c>
      <c r="G4" s="18">
        <f>SUMPRODUCT($E$12:$E$14,G12:G14)</f>
        <v>0.3888888888888889</v>
      </c>
      <c r="H4" s="18">
        <f>SUMPRODUCT($E$12:$E$14,H12:H14)</f>
        <v>0.44444444444444442</v>
      </c>
      <c r="I4" s="18">
        <f>SUM(F4:H4)</f>
        <v>1</v>
      </c>
    </row>
    <row r="5" spans="3:9" x14ac:dyDescent="0.2">
      <c r="C5" s="3" t="s">
        <v>69</v>
      </c>
      <c r="D5" s="17">
        <f>D28</f>
        <v>12160000</v>
      </c>
      <c r="E5" s="16">
        <f>D5/$D$8</f>
        <v>0.24966635869007289</v>
      </c>
      <c r="F5" s="18">
        <f>SUMPRODUCT($E$19:$E$27,F19:F27)</f>
        <v>0.37705592105263158</v>
      </c>
      <c r="G5" s="18">
        <f>SUMPRODUCT($E$19:$E$27,G19:G27)</f>
        <v>0.52171052631578951</v>
      </c>
      <c r="H5" s="18">
        <f>SUMPRODUCT($E$19:$E$27,H19:H27)</f>
        <v>0.10123355263157895</v>
      </c>
      <c r="I5" s="18">
        <f>SUM(F5:H5)</f>
        <v>1</v>
      </c>
    </row>
    <row r="6" spans="3:9" x14ac:dyDescent="0.2">
      <c r="C6" s="3" t="s">
        <v>70</v>
      </c>
      <c r="D6" s="17">
        <f>D39</f>
        <v>8975000</v>
      </c>
      <c r="E6" s="16">
        <f>D6/$D$8</f>
        <v>0.1842726619443589</v>
      </c>
      <c r="F6" s="18">
        <f>SUMPRODUCT($E$32:$E$38,F32:F38)</f>
        <v>5.7938718662952646E-3</v>
      </c>
      <c r="G6" s="18">
        <f>SUMPRODUCT($E$32:$E$38,G32:G38)</f>
        <v>0.2467966573816156</v>
      </c>
      <c r="H6" s="18">
        <f>SUMPRODUCT($E$32:$E$38,H32:H38)</f>
        <v>0.74740947075208919</v>
      </c>
      <c r="I6" s="18">
        <f>SUM(F6:H6)</f>
        <v>1</v>
      </c>
    </row>
    <row r="7" spans="3:9" x14ac:dyDescent="0.2">
      <c r="C7" s="3" t="s">
        <v>71</v>
      </c>
      <c r="D7" s="17">
        <f>D63</f>
        <v>9570000</v>
      </c>
      <c r="E7" s="16">
        <f>D7/$D$8</f>
        <v>0.19648906683092085</v>
      </c>
      <c r="F7" s="18">
        <f>SUMPRODUCT($E$43:$E$62,F43:F62)</f>
        <v>8.8819226750261243E-2</v>
      </c>
      <c r="G7" s="18">
        <f>SUMPRODUCT($E$43:$E$62,G43:G62)</f>
        <v>0.73688610240334385</v>
      </c>
      <c r="H7" s="18">
        <f>SUMPRODUCT($E$43:$E$62,H43:H62)</f>
        <v>0.17429467084639497</v>
      </c>
      <c r="I7" s="18">
        <f>SUM(F7:H7)</f>
        <v>1</v>
      </c>
    </row>
    <row r="8" spans="3:9" x14ac:dyDescent="0.2">
      <c r="C8" s="3" t="s">
        <v>19</v>
      </c>
      <c r="D8" s="17">
        <f>SUM(D4:D7)</f>
        <v>48705000</v>
      </c>
      <c r="E8" s="16">
        <f>SUM(E4:E7)</f>
        <v>1</v>
      </c>
      <c r="F8" s="175"/>
      <c r="G8" s="175"/>
      <c r="H8" s="175"/>
      <c r="I8" s="175"/>
    </row>
    <row r="9" spans="3:9" ht="16" thickBot="1" x14ac:dyDescent="0.25"/>
    <row r="10" spans="3:9" ht="16" thickBot="1" x14ac:dyDescent="0.25">
      <c r="C10" s="179" t="s">
        <v>68</v>
      </c>
      <c r="D10" s="180"/>
      <c r="E10" s="180"/>
      <c r="F10" s="180"/>
      <c r="G10" s="180"/>
      <c r="H10" s="180"/>
      <c r="I10" s="181"/>
    </row>
    <row r="11" spans="3:9" x14ac:dyDescent="0.2">
      <c r="C11" s="20" t="s">
        <v>25</v>
      </c>
      <c r="D11" s="21" t="s">
        <v>2</v>
      </c>
      <c r="E11" s="22" t="s">
        <v>96</v>
      </c>
      <c r="F11" s="20" t="s">
        <v>72</v>
      </c>
      <c r="G11" s="21" t="s">
        <v>73</v>
      </c>
      <c r="H11" s="21" t="s">
        <v>74</v>
      </c>
      <c r="I11" s="28" t="s">
        <v>19</v>
      </c>
    </row>
    <row r="12" spans="3:9" x14ac:dyDescent="0.2">
      <c r="C12" s="23" t="s">
        <v>93</v>
      </c>
      <c r="D12" s="19">
        <v>5000000</v>
      </c>
      <c r="E12" s="24">
        <f>D12/$D$15</f>
        <v>0.27777777777777779</v>
      </c>
      <c r="F12" s="29">
        <v>0.6</v>
      </c>
      <c r="G12" s="16">
        <v>0.4</v>
      </c>
      <c r="H12" s="16">
        <v>0</v>
      </c>
      <c r="I12" s="24">
        <f>SUM(F12:H12)</f>
        <v>1</v>
      </c>
    </row>
    <row r="13" spans="3:9" x14ac:dyDescent="0.2">
      <c r="C13" s="23" t="s">
        <v>91</v>
      </c>
      <c r="D13" s="19">
        <v>8000000</v>
      </c>
      <c r="E13" s="24">
        <f>D13/$D$15</f>
        <v>0.44444444444444442</v>
      </c>
      <c r="F13" s="29">
        <v>0</v>
      </c>
      <c r="G13" s="16">
        <v>0</v>
      </c>
      <c r="H13" s="16">
        <v>1</v>
      </c>
      <c r="I13" s="24">
        <f>SUM(F13:H13)</f>
        <v>1</v>
      </c>
    </row>
    <row r="14" spans="3:9" x14ac:dyDescent="0.2">
      <c r="C14" s="23" t="s">
        <v>92</v>
      </c>
      <c r="D14" s="19">
        <v>5000000</v>
      </c>
      <c r="E14" s="24">
        <f>D14/$D$15</f>
        <v>0.27777777777777779</v>
      </c>
      <c r="F14" s="29">
        <v>0</v>
      </c>
      <c r="G14" s="16">
        <v>1</v>
      </c>
      <c r="H14" s="16">
        <v>0</v>
      </c>
      <c r="I14" s="24">
        <f>SUM(F14:H14)</f>
        <v>1</v>
      </c>
    </row>
    <row r="15" spans="3:9" ht="16" thickBot="1" x14ac:dyDescent="0.25">
      <c r="C15" s="25" t="s">
        <v>19</v>
      </c>
      <c r="D15" s="26">
        <f>SUM(D12:D14)</f>
        <v>18000000</v>
      </c>
      <c r="E15" s="27">
        <f>SUM(E12:E14)</f>
        <v>1</v>
      </c>
      <c r="F15" s="176"/>
      <c r="G15" s="177"/>
      <c r="H15" s="177"/>
      <c r="I15" s="178"/>
    </row>
    <row r="16" spans="3:9" ht="16" thickBot="1" x14ac:dyDescent="0.25"/>
    <row r="17" spans="3:10" ht="16" thickBot="1" x14ac:dyDescent="0.25">
      <c r="C17" s="179" t="s">
        <v>69</v>
      </c>
      <c r="D17" s="180"/>
      <c r="E17" s="180"/>
      <c r="F17" s="180"/>
      <c r="G17" s="180"/>
      <c r="H17" s="180"/>
      <c r="I17" s="181"/>
    </row>
    <row r="18" spans="3:10" x14ac:dyDescent="0.2">
      <c r="C18" s="20" t="s">
        <v>25</v>
      </c>
      <c r="D18" s="21" t="s">
        <v>2</v>
      </c>
      <c r="E18" s="22" t="s">
        <v>96</v>
      </c>
      <c r="F18" s="20" t="s">
        <v>72</v>
      </c>
      <c r="G18" s="21" t="s">
        <v>73</v>
      </c>
      <c r="H18" s="21" t="s">
        <v>74</v>
      </c>
      <c r="I18" s="28" t="s">
        <v>19</v>
      </c>
    </row>
    <row r="19" spans="3:10" x14ac:dyDescent="0.2">
      <c r="C19" s="23" t="s">
        <v>94</v>
      </c>
      <c r="D19" s="19">
        <f>3*1600000</f>
        <v>4800000</v>
      </c>
      <c r="E19" s="24">
        <f t="shared" ref="E19:E27" si="0">D19/$D$28</f>
        <v>0.39473684210526316</v>
      </c>
      <c r="F19" s="29">
        <v>0.7</v>
      </c>
      <c r="G19" s="16">
        <v>0.3</v>
      </c>
      <c r="H19" s="16">
        <v>0</v>
      </c>
      <c r="I19" s="24">
        <f t="shared" ref="I19:I27" si="1">SUM(F19:H19)</f>
        <v>1</v>
      </c>
      <c r="J19" s="44" t="s">
        <v>179</v>
      </c>
    </row>
    <row r="20" spans="3:10" x14ac:dyDescent="0.2">
      <c r="C20" s="23" t="s">
        <v>379</v>
      </c>
      <c r="D20" s="19">
        <f>2*1000000</f>
        <v>2000000</v>
      </c>
      <c r="E20" s="24">
        <f t="shared" si="0"/>
        <v>0.16447368421052633</v>
      </c>
      <c r="F20" s="29">
        <v>0</v>
      </c>
      <c r="G20" s="16">
        <v>0.5</v>
      </c>
      <c r="H20" s="16">
        <v>0.5</v>
      </c>
      <c r="I20" s="24">
        <f t="shared" si="1"/>
        <v>1</v>
      </c>
      <c r="J20" s="44" t="s">
        <v>180</v>
      </c>
    </row>
    <row r="21" spans="3:10" x14ac:dyDescent="0.2">
      <c r="C21" s="23" t="s">
        <v>182</v>
      </c>
      <c r="D21" s="19">
        <v>780000</v>
      </c>
      <c r="E21" s="24">
        <f t="shared" si="0"/>
        <v>6.4144736842105268E-2</v>
      </c>
      <c r="F21" s="29">
        <v>0.5</v>
      </c>
      <c r="G21" s="16">
        <v>0.3</v>
      </c>
      <c r="H21" s="16">
        <v>0.2</v>
      </c>
      <c r="I21" s="24">
        <f t="shared" si="1"/>
        <v>1</v>
      </c>
      <c r="J21" s="44" t="s">
        <v>181</v>
      </c>
    </row>
    <row r="22" spans="3:10" x14ac:dyDescent="0.2">
      <c r="C22" s="23" t="s">
        <v>380</v>
      </c>
      <c r="D22" s="19">
        <f>2*760000</f>
        <v>1520000</v>
      </c>
      <c r="E22" s="24">
        <f t="shared" si="0"/>
        <v>0.125</v>
      </c>
      <c r="F22" s="29">
        <v>0.5</v>
      </c>
      <c r="G22" s="16">
        <v>0.5</v>
      </c>
      <c r="H22" s="16">
        <v>0</v>
      </c>
      <c r="I22" s="24">
        <f t="shared" si="1"/>
        <v>1</v>
      </c>
      <c r="J22" s="44" t="s">
        <v>183</v>
      </c>
    </row>
    <row r="23" spans="3:10" x14ac:dyDescent="0.2">
      <c r="C23" s="23" t="s">
        <v>184</v>
      </c>
      <c r="D23" s="19">
        <v>1800000</v>
      </c>
      <c r="E23" s="24">
        <f t="shared" si="0"/>
        <v>0.14802631578947367</v>
      </c>
      <c r="F23" s="29">
        <v>0</v>
      </c>
      <c r="G23" s="16">
        <v>1</v>
      </c>
      <c r="H23" s="16">
        <v>0</v>
      </c>
      <c r="I23" s="24">
        <f t="shared" si="1"/>
        <v>1</v>
      </c>
      <c r="J23" s="44" t="s">
        <v>332</v>
      </c>
    </row>
    <row r="24" spans="3:10" x14ac:dyDescent="0.2">
      <c r="C24" s="39" t="s">
        <v>328</v>
      </c>
      <c r="D24" s="40">
        <f>1*460000</f>
        <v>460000</v>
      </c>
      <c r="E24" s="24">
        <f t="shared" si="0"/>
        <v>3.7828947368421052E-2</v>
      </c>
      <c r="F24" s="29">
        <v>0</v>
      </c>
      <c r="G24" s="16">
        <v>1</v>
      </c>
      <c r="H24" s="16">
        <v>0</v>
      </c>
      <c r="I24" s="24">
        <f t="shared" si="1"/>
        <v>1</v>
      </c>
      <c r="J24" s="44" t="s">
        <v>187</v>
      </c>
    </row>
    <row r="25" spans="3:10" x14ac:dyDescent="0.2">
      <c r="C25" s="39" t="s">
        <v>176</v>
      </c>
      <c r="D25" s="40">
        <v>400000</v>
      </c>
      <c r="E25" s="24">
        <f t="shared" si="0"/>
        <v>3.2894736842105261E-2</v>
      </c>
      <c r="F25" s="29">
        <v>0</v>
      </c>
      <c r="G25" s="16">
        <v>1</v>
      </c>
      <c r="H25" s="16">
        <v>0</v>
      </c>
      <c r="I25" s="24">
        <f t="shared" si="1"/>
        <v>1</v>
      </c>
      <c r="J25" s="44" t="s">
        <v>213</v>
      </c>
    </row>
    <row r="26" spans="3:10" x14ac:dyDescent="0.2">
      <c r="C26" s="39" t="s">
        <v>177</v>
      </c>
      <c r="D26" s="40">
        <v>150000</v>
      </c>
      <c r="E26" s="24">
        <f t="shared" si="0"/>
        <v>1.2335526315789474E-2</v>
      </c>
      <c r="F26" s="29">
        <v>0</v>
      </c>
      <c r="G26" s="16">
        <v>1</v>
      </c>
      <c r="H26" s="16">
        <v>0</v>
      </c>
      <c r="I26" s="24">
        <f t="shared" si="1"/>
        <v>1</v>
      </c>
      <c r="J26" t="s">
        <v>214</v>
      </c>
    </row>
    <row r="27" spans="3:10" x14ac:dyDescent="0.2">
      <c r="C27" s="39" t="s">
        <v>185</v>
      </c>
      <c r="D27" s="40">
        <v>250000</v>
      </c>
      <c r="E27" s="24">
        <f t="shared" si="0"/>
        <v>2.0559210526315791E-2</v>
      </c>
      <c r="F27" s="29">
        <v>0.3</v>
      </c>
      <c r="G27" s="16">
        <v>0.4</v>
      </c>
      <c r="H27" s="16">
        <v>0.3</v>
      </c>
      <c r="I27" s="24">
        <f t="shared" si="1"/>
        <v>1</v>
      </c>
      <c r="J27" s="44" t="s">
        <v>186</v>
      </c>
    </row>
    <row r="28" spans="3:10" ht="16" thickBot="1" x14ac:dyDescent="0.25">
      <c r="C28" s="25" t="s">
        <v>19</v>
      </c>
      <c r="D28" s="26">
        <f>SUM(D19:D27)</f>
        <v>12160000</v>
      </c>
      <c r="E28" s="30">
        <f>SUM(E19:E27)</f>
        <v>1</v>
      </c>
      <c r="F28" s="182"/>
      <c r="G28" s="183"/>
      <c r="H28" s="183"/>
      <c r="I28" s="184"/>
    </row>
    <row r="29" spans="3:10" ht="16" thickBot="1" x14ac:dyDescent="0.25"/>
    <row r="30" spans="3:10" ht="16" thickBot="1" x14ac:dyDescent="0.25">
      <c r="C30" s="179" t="s">
        <v>70</v>
      </c>
      <c r="D30" s="180"/>
      <c r="E30" s="180"/>
      <c r="F30" s="180"/>
      <c r="G30" s="180"/>
      <c r="H30" s="180"/>
      <c r="I30" s="181"/>
    </row>
    <row r="31" spans="3:10" x14ac:dyDescent="0.2">
      <c r="C31" s="20" t="s">
        <v>25</v>
      </c>
      <c r="D31" s="21" t="s">
        <v>2</v>
      </c>
      <c r="E31" s="22" t="s">
        <v>96</v>
      </c>
      <c r="F31" s="20" t="s">
        <v>72</v>
      </c>
      <c r="G31" s="21" t="s">
        <v>73</v>
      </c>
      <c r="H31" s="21" t="s">
        <v>74</v>
      </c>
      <c r="I31" s="28" t="s">
        <v>19</v>
      </c>
    </row>
    <row r="32" spans="3:10" x14ac:dyDescent="0.2">
      <c r="C32" s="23" t="s">
        <v>381</v>
      </c>
      <c r="D32" s="19">
        <f>2*1400000</f>
        <v>2800000</v>
      </c>
      <c r="E32" s="24">
        <f t="shared" ref="E32:E38" si="2">D32/$D$39</f>
        <v>0.31197771587743733</v>
      </c>
      <c r="F32" s="29">
        <v>0</v>
      </c>
      <c r="G32" s="16">
        <v>0.2</v>
      </c>
      <c r="H32" s="16">
        <v>0.8</v>
      </c>
      <c r="I32" s="24">
        <f t="shared" ref="I32:I38" si="3">SUM(F32:H32)</f>
        <v>1</v>
      </c>
      <c r="J32" s="44" t="s">
        <v>188</v>
      </c>
    </row>
    <row r="33" spans="3:10" x14ac:dyDescent="0.2">
      <c r="C33" s="23" t="s">
        <v>159</v>
      </c>
      <c r="D33" s="19">
        <v>3000000</v>
      </c>
      <c r="E33" s="24">
        <f t="shared" si="2"/>
        <v>0.33426183844011143</v>
      </c>
      <c r="F33" s="29">
        <v>0</v>
      </c>
      <c r="G33" s="16">
        <v>0.2</v>
      </c>
      <c r="H33" s="16">
        <v>0.8</v>
      </c>
      <c r="I33" s="24">
        <f t="shared" si="3"/>
        <v>1</v>
      </c>
      <c r="J33" s="44" t="s">
        <v>329</v>
      </c>
    </row>
    <row r="34" spans="3:10" x14ac:dyDescent="0.2">
      <c r="C34" s="23" t="s">
        <v>371</v>
      </c>
      <c r="D34" s="19">
        <f>2*1000000</f>
        <v>2000000</v>
      </c>
      <c r="E34" s="24">
        <f t="shared" si="2"/>
        <v>0.22284122562674094</v>
      </c>
      <c r="F34" s="29">
        <v>0</v>
      </c>
      <c r="G34" s="16">
        <v>0.3</v>
      </c>
      <c r="H34" s="16">
        <v>0.7</v>
      </c>
      <c r="I34" s="24">
        <f t="shared" si="3"/>
        <v>1</v>
      </c>
      <c r="J34" s="44" t="s">
        <v>330</v>
      </c>
    </row>
    <row r="35" spans="3:10" x14ac:dyDescent="0.2">
      <c r="C35" s="23" t="s">
        <v>382</v>
      </c>
      <c r="D35" s="19">
        <f>2*130000</f>
        <v>260000</v>
      </c>
      <c r="E35" s="24">
        <f t="shared" si="2"/>
        <v>2.8969359331476322E-2</v>
      </c>
      <c r="F35" s="29">
        <v>0.2</v>
      </c>
      <c r="G35" s="16">
        <v>0.7</v>
      </c>
      <c r="H35" s="16">
        <v>0.1</v>
      </c>
      <c r="I35" s="24">
        <f t="shared" si="3"/>
        <v>0.99999999999999989</v>
      </c>
      <c r="J35" s="44" t="s">
        <v>191</v>
      </c>
    </row>
    <row r="36" spans="3:10" x14ac:dyDescent="0.2">
      <c r="C36" s="39" t="s">
        <v>173</v>
      </c>
      <c r="D36" s="40">
        <v>415000</v>
      </c>
      <c r="E36" s="24">
        <f t="shared" si="2"/>
        <v>4.6239554317548746E-2</v>
      </c>
      <c r="F36" s="29">
        <v>0</v>
      </c>
      <c r="G36" s="16">
        <v>0.2</v>
      </c>
      <c r="H36" s="16">
        <v>0.8</v>
      </c>
      <c r="I36" s="24">
        <f t="shared" si="3"/>
        <v>1</v>
      </c>
      <c r="J36" s="44" t="s">
        <v>192</v>
      </c>
    </row>
    <row r="37" spans="3:10" x14ac:dyDescent="0.2">
      <c r="C37" s="39" t="s">
        <v>174</v>
      </c>
      <c r="D37" s="40">
        <v>350000</v>
      </c>
      <c r="E37" s="24">
        <f t="shared" si="2"/>
        <v>3.8997214484679667E-2</v>
      </c>
      <c r="F37" s="29">
        <v>0</v>
      </c>
      <c r="G37" s="16">
        <v>0.2</v>
      </c>
      <c r="H37" s="16">
        <v>0.8</v>
      </c>
      <c r="I37" s="24">
        <f t="shared" si="3"/>
        <v>1</v>
      </c>
      <c r="J37" s="44" t="s">
        <v>193</v>
      </c>
    </row>
    <row r="38" spans="3:10" x14ac:dyDescent="0.2">
      <c r="C38" s="39" t="s">
        <v>190</v>
      </c>
      <c r="D38" s="40">
        <v>150000</v>
      </c>
      <c r="E38" s="24">
        <f t="shared" si="2"/>
        <v>1.6713091922005572E-2</v>
      </c>
      <c r="F38" s="29">
        <v>0</v>
      </c>
      <c r="G38" s="16">
        <v>0.8</v>
      </c>
      <c r="H38" s="16">
        <v>0.2</v>
      </c>
      <c r="I38" s="24">
        <f t="shared" si="3"/>
        <v>1</v>
      </c>
      <c r="J38" s="44" t="s">
        <v>194</v>
      </c>
    </row>
    <row r="39" spans="3:10" ht="16" thickBot="1" x14ac:dyDescent="0.25">
      <c r="C39" s="25" t="s">
        <v>19</v>
      </c>
      <c r="D39" s="26">
        <f>SUM(D32:D38)</f>
        <v>8975000</v>
      </c>
      <c r="E39" s="30">
        <f>SUM(E32:E38)</f>
        <v>1</v>
      </c>
      <c r="F39" s="182"/>
      <c r="G39" s="183"/>
      <c r="H39" s="183"/>
      <c r="I39" s="184"/>
    </row>
    <row r="40" spans="3:10" ht="16" thickBot="1" x14ac:dyDescent="0.25"/>
    <row r="41" spans="3:10" ht="16" thickBot="1" x14ac:dyDescent="0.25">
      <c r="C41" s="179" t="s">
        <v>71</v>
      </c>
      <c r="D41" s="180"/>
      <c r="E41" s="180"/>
      <c r="F41" s="180"/>
      <c r="G41" s="180"/>
      <c r="H41" s="180"/>
      <c r="I41" s="181"/>
    </row>
    <row r="42" spans="3:10" x14ac:dyDescent="0.2">
      <c r="C42" s="20" t="s">
        <v>25</v>
      </c>
      <c r="D42" s="21" t="s">
        <v>2</v>
      </c>
      <c r="E42" s="22" t="s">
        <v>96</v>
      </c>
      <c r="F42" s="20" t="s">
        <v>72</v>
      </c>
      <c r="G42" s="21" t="s">
        <v>73</v>
      </c>
      <c r="H42" s="21" t="s">
        <v>74</v>
      </c>
      <c r="I42" s="28" t="s">
        <v>19</v>
      </c>
    </row>
    <row r="43" spans="3:10" x14ac:dyDescent="0.2">
      <c r="C43" s="23" t="s">
        <v>297</v>
      </c>
      <c r="D43" s="19">
        <v>230000</v>
      </c>
      <c r="E43" s="24">
        <f>D43/$D$63</f>
        <v>2.4033437826541274E-2</v>
      </c>
      <c r="F43" s="29">
        <v>0</v>
      </c>
      <c r="G43" s="16">
        <v>0</v>
      </c>
      <c r="H43" s="16">
        <v>1</v>
      </c>
      <c r="I43" s="24">
        <f>SUM(F43:H43)</f>
        <v>1</v>
      </c>
      <c r="J43" s="44" t="s">
        <v>195</v>
      </c>
    </row>
    <row r="44" spans="3:10" x14ac:dyDescent="0.2">
      <c r="C44" s="23" t="s">
        <v>296</v>
      </c>
      <c r="D44" s="19">
        <v>1300000</v>
      </c>
      <c r="E44" s="24">
        <f t="shared" ref="E44:E62" si="4">D44/$D$63</f>
        <v>0.13584117032392895</v>
      </c>
      <c r="F44" s="29">
        <v>0</v>
      </c>
      <c r="G44" s="16">
        <v>1</v>
      </c>
      <c r="H44" s="16">
        <v>0</v>
      </c>
      <c r="I44" s="24">
        <f t="shared" ref="I44:I62" si="5">SUM(F44:H44)</f>
        <v>1</v>
      </c>
      <c r="J44" t="s">
        <v>291</v>
      </c>
    </row>
    <row r="45" spans="3:10" x14ac:dyDescent="0.2">
      <c r="C45" s="23" t="s">
        <v>198</v>
      </c>
      <c r="D45" s="19">
        <f>2*590000</f>
        <v>1180000</v>
      </c>
      <c r="E45" s="24">
        <f t="shared" si="4"/>
        <v>0.12330198537095088</v>
      </c>
      <c r="F45" s="29">
        <v>0</v>
      </c>
      <c r="G45" s="16">
        <v>1</v>
      </c>
      <c r="H45" s="16">
        <v>0</v>
      </c>
      <c r="I45" s="24">
        <f>SUM(F45:H45)</f>
        <v>1</v>
      </c>
      <c r="J45" s="44" t="s">
        <v>199</v>
      </c>
    </row>
    <row r="46" spans="3:10" x14ac:dyDescent="0.2">
      <c r="C46" s="23" t="s">
        <v>189</v>
      </c>
      <c r="D46" s="19">
        <v>340000</v>
      </c>
      <c r="E46" s="24">
        <f t="shared" si="4"/>
        <v>3.5527690700104496E-2</v>
      </c>
      <c r="F46" s="29">
        <v>0</v>
      </c>
      <c r="G46" s="16">
        <v>0</v>
      </c>
      <c r="H46" s="16">
        <v>1</v>
      </c>
      <c r="I46" s="24">
        <f t="shared" si="5"/>
        <v>1</v>
      </c>
      <c r="J46" s="44" t="s">
        <v>333</v>
      </c>
    </row>
    <row r="47" spans="3:10" x14ac:dyDescent="0.2">
      <c r="C47" s="23" t="s">
        <v>196</v>
      </c>
      <c r="D47" s="19">
        <f>4*290000</f>
        <v>1160000</v>
      </c>
      <c r="E47" s="24">
        <f t="shared" si="4"/>
        <v>0.12121212121212122</v>
      </c>
      <c r="F47" s="29">
        <v>0</v>
      </c>
      <c r="G47" s="16">
        <v>1</v>
      </c>
      <c r="H47" s="16">
        <v>0</v>
      </c>
      <c r="I47" s="24">
        <f t="shared" si="5"/>
        <v>1</v>
      </c>
      <c r="J47" s="44" t="s">
        <v>197</v>
      </c>
    </row>
    <row r="48" spans="3:10" x14ac:dyDescent="0.2">
      <c r="C48" s="23" t="s">
        <v>295</v>
      </c>
      <c r="D48" s="19">
        <v>1200000</v>
      </c>
      <c r="E48" s="24">
        <f t="shared" si="4"/>
        <v>0.12539184952978055</v>
      </c>
      <c r="F48" s="29">
        <v>0</v>
      </c>
      <c r="G48" s="16">
        <v>1</v>
      </c>
      <c r="H48" s="16">
        <v>0</v>
      </c>
      <c r="I48" s="24">
        <f t="shared" si="5"/>
        <v>1</v>
      </c>
      <c r="J48" t="s">
        <v>292</v>
      </c>
    </row>
    <row r="49" spans="3:10" x14ac:dyDescent="0.2">
      <c r="C49" s="23" t="s">
        <v>200</v>
      </c>
      <c r="D49" s="19">
        <f>340000*2</f>
        <v>680000</v>
      </c>
      <c r="E49" s="24">
        <f t="shared" si="4"/>
        <v>7.1055381400208992E-2</v>
      </c>
      <c r="F49" s="29">
        <v>0.3</v>
      </c>
      <c r="G49" s="16">
        <v>0.4</v>
      </c>
      <c r="H49" s="16">
        <v>0.3</v>
      </c>
      <c r="I49" s="24">
        <f t="shared" si="5"/>
        <v>1</v>
      </c>
      <c r="J49" s="44" t="s">
        <v>202</v>
      </c>
    </row>
    <row r="50" spans="3:10" x14ac:dyDescent="0.2">
      <c r="C50" s="23" t="s">
        <v>293</v>
      </c>
      <c r="D50" s="19">
        <f>130000*2</f>
        <v>260000</v>
      </c>
      <c r="E50" s="24">
        <f t="shared" si="4"/>
        <v>2.7168234064785787E-2</v>
      </c>
      <c r="F50" s="29">
        <v>0</v>
      </c>
      <c r="G50" s="16">
        <v>0.3</v>
      </c>
      <c r="H50" s="16">
        <v>0.7</v>
      </c>
      <c r="I50" s="24">
        <f t="shared" si="5"/>
        <v>1</v>
      </c>
      <c r="J50" t="s">
        <v>294</v>
      </c>
    </row>
    <row r="51" spans="3:10" x14ac:dyDescent="0.2">
      <c r="C51" s="23" t="s">
        <v>175</v>
      </c>
      <c r="D51" s="19">
        <v>460000</v>
      </c>
      <c r="E51" s="24">
        <f t="shared" si="4"/>
        <v>4.8066875653082548E-2</v>
      </c>
      <c r="F51" s="29">
        <v>0</v>
      </c>
      <c r="G51" s="16">
        <v>0.3</v>
      </c>
      <c r="H51" s="16">
        <v>0.7</v>
      </c>
      <c r="I51" s="24">
        <f t="shared" si="5"/>
        <v>1</v>
      </c>
      <c r="J51" s="44" t="s">
        <v>201</v>
      </c>
    </row>
    <row r="52" spans="3:10" x14ac:dyDescent="0.2">
      <c r="C52" s="23" t="s">
        <v>160</v>
      </c>
      <c r="D52" s="19">
        <v>200000</v>
      </c>
      <c r="E52" s="24">
        <f t="shared" si="4"/>
        <v>2.0898641588296761E-2</v>
      </c>
      <c r="F52" s="29">
        <v>0</v>
      </c>
      <c r="G52" s="16">
        <v>0.2</v>
      </c>
      <c r="H52" s="16">
        <v>0.8</v>
      </c>
      <c r="I52" s="24">
        <f t="shared" si="5"/>
        <v>1</v>
      </c>
      <c r="J52" t="s">
        <v>298</v>
      </c>
    </row>
    <row r="53" spans="3:10" x14ac:dyDescent="0.2">
      <c r="C53" s="23" t="s">
        <v>299</v>
      </c>
      <c r="D53" s="19">
        <f>2*150000</f>
        <v>300000</v>
      </c>
      <c r="E53" s="24">
        <f t="shared" si="4"/>
        <v>3.1347962382445138E-2</v>
      </c>
      <c r="F53" s="29">
        <v>0.1</v>
      </c>
      <c r="G53" s="16">
        <v>0.8</v>
      </c>
      <c r="H53" s="16">
        <v>0.1</v>
      </c>
      <c r="I53" s="24">
        <f t="shared" si="5"/>
        <v>1</v>
      </c>
      <c r="J53" t="s">
        <v>300</v>
      </c>
    </row>
    <row r="54" spans="3:10" x14ac:dyDescent="0.2">
      <c r="C54" s="23" t="s">
        <v>161</v>
      </c>
      <c r="D54" s="19">
        <f>2*200000</f>
        <v>400000</v>
      </c>
      <c r="E54" s="24">
        <f t="shared" si="4"/>
        <v>4.1797283176593522E-2</v>
      </c>
      <c r="F54" s="29">
        <v>0.1</v>
      </c>
      <c r="G54" s="16">
        <v>0.8</v>
      </c>
      <c r="H54" s="16">
        <v>0.1</v>
      </c>
      <c r="I54" s="24">
        <f t="shared" si="5"/>
        <v>1</v>
      </c>
      <c r="J54" t="s">
        <v>301</v>
      </c>
    </row>
    <row r="55" spans="3:10" x14ac:dyDescent="0.2">
      <c r="C55" s="23" t="s">
        <v>178</v>
      </c>
      <c r="D55" s="19">
        <f>90000*2</f>
        <v>180000</v>
      </c>
      <c r="E55" s="24">
        <f t="shared" si="4"/>
        <v>1.8808777429467086E-2</v>
      </c>
      <c r="F55" s="29">
        <v>0.1</v>
      </c>
      <c r="G55" s="16">
        <v>0.7</v>
      </c>
      <c r="H55" s="16">
        <v>0.2</v>
      </c>
      <c r="I55" s="24">
        <f t="shared" si="5"/>
        <v>1</v>
      </c>
      <c r="J55" t="s">
        <v>302</v>
      </c>
    </row>
    <row r="56" spans="3:10" x14ac:dyDescent="0.2">
      <c r="C56" s="23" t="s">
        <v>314</v>
      </c>
      <c r="D56" s="19">
        <v>170000</v>
      </c>
      <c r="E56" s="24">
        <f t="shared" si="4"/>
        <v>1.7763845350052248E-2</v>
      </c>
      <c r="F56" s="29">
        <v>0.5</v>
      </c>
      <c r="G56" s="16">
        <v>0.5</v>
      </c>
      <c r="H56" s="16">
        <v>0</v>
      </c>
      <c r="I56" s="24">
        <f t="shared" si="5"/>
        <v>1</v>
      </c>
      <c r="J56" t="s">
        <v>303</v>
      </c>
    </row>
    <row r="57" spans="3:10" x14ac:dyDescent="0.2">
      <c r="C57" s="23" t="s">
        <v>315</v>
      </c>
      <c r="D57" s="19">
        <f>250000*1</f>
        <v>250000</v>
      </c>
      <c r="E57" s="24">
        <f t="shared" si="4"/>
        <v>2.612330198537095E-2</v>
      </c>
      <c r="F57" s="29">
        <v>0.5</v>
      </c>
      <c r="G57" s="16">
        <v>0.5</v>
      </c>
      <c r="H57" s="16">
        <v>0</v>
      </c>
      <c r="I57" s="24">
        <f t="shared" si="5"/>
        <v>1</v>
      </c>
      <c r="J57" t="s">
        <v>304</v>
      </c>
    </row>
    <row r="58" spans="3:10" x14ac:dyDescent="0.2">
      <c r="C58" s="39" t="s">
        <v>305</v>
      </c>
      <c r="D58" s="40">
        <v>520000</v>
      </c>
      <c r="E58" s="24">
        <f t="shared" si="4"/>
        <v>5.4336468129571575E-2</v>
      </c>
      <c r="F58" s="29">
        <v>0.5</v>
      </c>
      <c r="G58" s="16">
        <v>0.5</v>
      </c>
      <c r="H58" s="16">
        <v>0</v>
      </c>
      <c r="I58" s="24">
        <f t="shared" si="5"/>
        <v>1</v>
      </c>
      <c r="J58" t="s">
        <v>306</v>
      </c>
    </row>
    <row r="59" spans="3:10" x14ac:dyDescent="0.2">
      <c r="C59" s="39" t="s">
        <v>307</v>
      </c>
      <c r="D59" s="40">
        <f>4*90000</f>
        <v>360000</v>
      </c>
      <c r="E59" s="24">
        <f t="shared" si="4"/>
        <v>3.7617554858934171E-2</v>
      </c>
      <c r="F59" s="29">
        <v>0.2</v>
      </c>
      <c r="G59" s="16">
        <v>0.5</v>
      </c>
      <c r="H59" s="16">
        <v>0.3</v>
      </c>
      <c r="I59" s="24">
        <f t="shared" si="5"/>
        <v>1</v>
      </c>
      <c r="J59" t="s">
        <v>308</v>
      </c>
    </row>
    <row r="60" spans="3:10" x14ac:dyDescent="0.2">
      <c r="C60" s="39" t="s">
        <v>331</v>
      </c>
      <c r="D60" s="40">
        <f>50000*2</f>
        <v>100000</v>
      </c>
      <c r="E60" s="24">
        <f t="shared" si="4"/>
        <v>1.0449320794148381E-2</v>
      </c>
      <c r="F60" s="29">
        <v>0</v>
      </c>
      <c r="G60" s="16">
        <v>1</v>
      </c>
      <c r="H60" s="16">
        <v>0</v>
      </c>
      <c r="I60" s="24">
        <f t="shared" si="5"/>
        <v>1</v>
      </c>
      <c r="J60" t="s">
        <v>309</v>
      </c>
    </row>
    <row r="61" spans="3:10" x14ac:dyDescent="0.2">
      <c r="C61" s="39" t="s">
        <v>310</v>
      </c>
      <c r="D61" s="40">
        <f>2*100000</f>
        <v>200000</v>
      </c>
      <c r="E61" s="24">
        <f t="shared" si="4"/>
        <v>2.0898641588296761E-2</v>
      </c>
      <c r="F61" s="29">
        <v>0</v>
      </c>
      <c r="G61" s="16">
        <v>1</v>
      </c>
      <c r="H61" s="16">
        <v>0</v>
      </c>
      <c r="I61" s="24">
        <f t="shared" si="5"/>
        <v>1</v>
      </c>
      <c r="J61" t="s">
        <v>311</v>
      </c>
    </row>
    <row r="62" spans="3:10" x14ac:dyDescent="0.2">
      <c r="C62" s="39" t="s">
        <v>312</v>
      </c>
      <c r="D62" s="40">
        <f>80000</f>
        <v>80000</v>
      </c>
      <c r="E62" s="24">
        <f t="shared" si="4"/>
        <v>8.3594566353187051E-3</v>
      </c>
      <c r="F62" s="29">
        <v>0.2</v>
      </c>
      <c r="G62" s="16">
        <v>0.6</v>
      </c>
      <c r="H62" s="16">
        <v>0.2</v>
      </c>
      <c r="I62" s="24">
        <f t="shared" si="5"/>
        <v>1</v>
      </c>
      <c r="J62" t="s">
        <v>313</v>
      </c>
    </row>
    <row r="63" spans="3:10" ht="16" thickBot="1" x14ac:dyDescent="0.25">
      <c r="C63" s="25" t="s">
        <v>19</v>
      </c>
      <c r="D63" s="26">
        <f>SUM(D43:D62)</f>
        <v>9570000</v>
      </c>
      <c r="E63" s="30">
        <f>SUM(E43:E62)</f>
        <v>1</v>
      </c>
      <c r="F63" s="182"/>
      <c r="G63" s="183"/>
      <c r="H63" s="183"/>
      <c r="I63" s="184"/>
    </row>
    <row r="66" spans="3:9" x14ac:dyDescent="0.2">
      <c r="C66" s="170" t="s">
        <v>97</v>
      </c>
      <c r="D66" s="170"/>
      <c r="E66" s="170"/>
      <c r="F66" s="170"/>
      <c r="G66" s="170"/>
      <c r="H66" s="170"/>
      <c r="I66" s="170"/>
    </row>
    <row r="68" spans="3:9" x14ac:dyDescent="0.2">
      <c r="C68" s="32" t="s">
        <v>25</v>
      </c>
      <c r="D68" s="32" t="s">
        <v>2</v>
      </c>
    </row>
    <row r="69" spans="3:9" x14ac:dyDescent="0.2">
      <c r="C69" s="150" t="s">
        <v>98</v>
      </c>
      <c r="D69" s="152"/>
    </row>
    <row r="70" spans="3:9" x14ac:dyDescent="0.2">
      <c r="C70" s="15" t="s">
        <v>99</v>
      </c>
      <c r="D70" s="31">
        <f>'Mano de obra'!E29+'Mano de obra'!E30</f>
        <v>5097044.3039999995</v>
      </c>
    </row>
    <row r="71" spans="3:9" x14ac:dyDescent="0.2">
      <c r="C71" s="15" t="s">
        <v>26</v>
      </c>
      <c r="D71" s="144">
        <f>(AVERAGE('Proyecciones (Ventas y MP)'!E17,'Proyecciones (Ventas y MP)'!J19)*'Proyecciones (Ventas y MP)'!C26)+(AVERAGE('Proyecciones (Ventas y MP)'!E57,'Proyecciones (Ventas y MP)'!J59)*'Proyecciones (Ventas y MP)'!C66)+('Proyecciones (Ventas y MP)'!E86*'Proyecciones (Ventas y MP)'!C92)</f>
        <v>17607785.952491585</v>
      </c>
    </row>
    <row r="72" spans="3:9" x14ac:dyDescent="0.2">
      <c r="C72" s="15" t="s">
        <v>100</v>
      </c>
      <c r="D72" s="31">
        <f>'Depreciaciones, GA, GV, CIFs'!E56</f>
        <v>5683678.2039999999</v>
      </c>
    </row>
    <row r="73" spans="3:9" x14ac:dyDescent="0.2">
      <c r="C73" s="15"/>
      <c r="D73" s="31">
        <f>D70+D71+D72</f>
        <v>28388508.460491586</v>
      </c>
    </row>
    <row r="74" spans="3:9" x14ac:dyDescent="0.2">
      <c r="C74" s="15"/>
      <c r="D74" s="31"/>
    </row>
    <row r="75" spans="3:9" x14ac:dyDescent="0.2">
      <c r="C75" s="15" t="s">
        <v>101</v>
      </c>
      <c r="D75" s="31">
        <f>'Depreciaciones, GA, GV, CIFs'!E80+'Depreciaciones, GA, GV, CIFs'!E103</f>
        <v>26673134.713893332</v>
      </c>
    </row>
    <row r="76" spans="3:9" x14ac:dyDescent="0.2">
      <c r="C76" s="15"/>
      <c r="D76" s="31"/>
    </row>
    <row r="77" spans="3:9" x14ac:dyDescent="0.2">
      <c r="C77" s="15" t="s">
        <v>102</v>
      </c>
      <c r="D77" s="31">
        <f>Préstamo!E12</f>
        <v>1068000</v>
      </c>
    </row>
    <row r="78" spans="3:9" x14ac:dyDescent="0.2">
      <c r="C78" s="15" t="s">
        <v>103</v>
      </c>
      <c r="D78" s="31">
        <f>'Estados de resultados'!B11/12</f>
        <v>228650.24540829111</v>
      </c>
    </row>
    <row r="79" spans="3:9" x14ac:dyDescent="0.2">
      <c r="C79" s="15"/>
      <c r="D79" s="31"/>
    </row>
    <row r="80" spans="3:9" x14ac:dyDescent="0.2">
      <c r="C80" s="15" t="s">
        <v>104</v>
      </c>
      <c r="D80" s="31">
        <f>'Depreciaciones, GA, GV, CIFs'!F13+'Depreciaciones, GA, GV, CIFs'!F18+'Depreciaciones, GA, GV, CIFs'!F23+'Depreciaciones, GA, GV, CIFs'!F28</f>
        <v>432208.33333333337</v>
      </c>
    </row>
    <row r="81" spans="3:4" x14ac:dyDescent="0.2">
      <c r="C81" s="15"/>
      <c r="D81" s="31"/>
    </row>
    <row r="82" spans="3:4" ht="16" x14ac:dyDescent="0.2">
      <c r="C82" s="33" t="s">
        <v>19</v>
      </c>
      <c r="D82" s="34">
        <f>SUM(D73:D78)-D80</f>
        <v>55926085.086459875</v>
      </c>
    </row>
  </sheetData>
  <mergeCells count="12">
    <mergeCell ref="C69:D69"/>
    <mergeCell ref="C66:I66"/>
    <mergeCell ref="F28:I28"/>
    <mergeCell ref="C30:I30"/>
    <mergeCell ref="F39:I39"/>
    <mergeCell ref="C41:I41"/>
    <mergeCell ref="F63:I63"/>
    <mergeCell ref="C2:I2"/>
    <mergeCell ref="F8:I8"/>
    <mergeCell ref="F15:I15"/>
    <mergeCell ref="C10:I10"/>
    <mergeCell ref="C17:I17"/>
  </mergeCells>
  <hyperlinks>
    <hyperlink ref="J19" r:id="rId1" display="https://www.homecenter.com.co/homecenter-co/product/655840/portatil-lenovo-amd-ryzen-3-8gb-512gb-ideapad-slim-3-14-azul/655840/" xr:uid="{CCE01837-F93A-4F7D-B014-8C19DCC6718C}"/>
    <hyperlink ref="J20" r:id="rId2" display="https://www.homecenter.com.co/homecenter-co/product/695087/tablet-lenovo-tab-m11-4g-lte-8gb-128gb-gris-pen/695087/" xr:uid="{9B6D8F20-0A46-47D5-866A-86600A58CF69}"/>
    <hyperlink ref="J21" r:id="rId3" display="https://www.homecenter.com.co/homecenter-co/product/550829/impresora-epson-l3210/550829/" xr:uid="{0E42179B-236C-4ECD-B604-8DF4D8948E60}"/>
    <hyperlink ref="J22" r:id="rId4" display="https://www.homecenter.com.co/homecenter-co/product/695866/xiaomi-redmi-note-13-negro-256gb/695866/" xr:uid="{DC067F38-5DA1-42D1-9885-33B91440BEA6}"/>
    <hyperlink ref="J27" r:id="rId5" display="https://www.homecenter.com.co/homecenter-co/product/685872/kit-2-camaras-inteligentes-con-movimiento-2k-planet-iii-vta/685872/" xr:uid="{6D5FD110-63C1-4531-8351-6A76C62532C3}"/>
    <hyperlink ref="J24" r:id="rId6" display="https://www.homecenter.com.co/homecenter-co/product/556842/barra-de-sonido-bluetooth-60w-sb60/556842/" xr:uid="{D98720F9-FDAE-44FD-B9B9-69F3CE4F1338}"/>
    <hyperlink ref="J32" r:id="rId7" display="https://www.homecenter.com.co/homecenter-co/product/566309/batidora-de-pedestal-artisan-10-velocidades-47-lt-325-watts/566309/" xr:uid="{F48501D4-D343-49DE-B45B-80A08EA3FE28}"/>
    <hyperlink ref="J35" r:id="rId8" display="https://www.homecenter.com.co/homecenter-co/product/674127/cafetera-12-tazas-switch-negro-2183235/674127/" xr:uid="{BE9A2287-09B3-472F-98C1-C965EFBBA8DB}"/>
    <hyperlink ref="J36" r:id="rId9" display="https://www.homecenter.com.co/homecenter-co/product/320170/estufa-a-gas-esmaltada-con-encendido-60-cm-cg4psnee-n/320170/" xr:uid="{3DE69F72-7090-4CA8-8695-FDBFEC828D0A}"/>
    <hyperlink ref="J37" r:id="rId10" display="https://www.homecenter.com.co/homecenter-co/product/488888/horno-microondas-07pc-120-v-wm1807d-silver/488888/" xr:uid="{7CC6A5F0-0C5B-408E-966D-92F501A10DA5}"/>
    <hyperlink ref="J38" r:id="rId11" display="https://www.homecenter.com.co/homecenter-co/product/554888/licuadora-22-lts-10-velocidades-infinyforcexl-negro/554888/" xr:uid="{2D3DFE2F-5F25-44BF-8766-DD52D42767A5}"/>
    <hyperlink ref="J43" r:id="rId12" display="https://www.homecenter.com.co/homecenter-co/product/298028/estanteria-bricol-metalica-gris-de-180x90x40-cm/298028/" xr:uid="{B836F4AA-84CF-4864-9B47-C11A0B0CCB20}"/>
    <hyperlink ref="J47" r:id="rId13" display="https://www.homecenter.com.co/homecenter-co/product/CS4937/comedor-exterior-plastico-infinity-4-puestos-sillas-sin-brazos-wengue/CS4937/" xr:uid="{4C28ED68-5951-488E-A2CA-17986245D3F6}"/>
    <hyperlink ref="J45" r:id="rId14" display="https://www.homecenter.com.co/homecenter-co/product/544878/setx2-silla-bar-milyi-40x42x75-gris/544878/" xr:uid="{E64E5F55-D0C6-4FE6-9ACC-6E59FFA0CB7F}"/>
    <hyperlink ref="J51" r:id="rId15" display="https://www.homecenter.com.co/homecenter-co/product/597840/moldes-para-horno-de-cocina/597840/" xr:uid="{127E95AF-A448-4DBE-A722-B9A30F7DE40E}"/>
    <hyperlink ref="J49" r:id="rId16" display="https://www.homecenter.com.co/homecenter-co/product/554886/ventilador-de-torre-3-velocidades-sin-control-eole-negro/554886/" xr:uid="{04F11624-56DD-448B-8AF9-4DF4096264FD}"/>
    <hyperlink ref="J25" r:id="rId17" location="searchVariation=MCO27875082&amp;position=8&amp;search_layout=grid&amp;type=product&amp;tracking_id=86ba6a13-d50d-4771-94a0-36233f9fe962 " xr:uid="{EE198CC4-AA4A-440E-8DE9-CBC561274450}"/>
  </hyperlinks>
  <pageMargins left="0.7" right="0.7" top="0.75" bottom="0.75" header="0.3" footer="0.3"/>
  <pageSetup orientation="portrait"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980B-08B7-4630-8F6F-3A2ABC4BEA4C}">
  <dimension ref="B2:G55"/>
  <sheetViews>
    <sheetView topLeftCell="A24" zoomScale="125" workbookViewId="0">
      <selection activeCell="C33" sqref="C33"/>
    </sheetView>
  </sheetViews>
  <sheetFormatPr baseColWidth="10" defaultRowHeight="15" x14ac:dyDescent="0.2"/>
  <cols>
    <col min="2" max="2" width="38.1640625" customWidth="1"/>
    <col min="3" max="4" width="16.5" customWidth="1"/>
    <col min="6" max="6" width="30.5" customWidth="1"/>
  </cols>
  <sheetData>
    <row r="2" spans="2:4" x14ac:dyDescent="0.2">
      <c r="B2" s="170" t="s">
        <v>109</v>
      </c>
      <c r="C2" s="170"/>
      <c r="D2" s="170"/>
    </row>
    <row r="3" spans="2:4" x14ac:dyDescent="0.2">
      <c r="B3" s="1" t="s">
        <v>25</v>
      </c>
      <c r="C3" s="1" t="s">
        <v>2</v>
      </c>
      <c r="D3" s="1" t="s">
        <v>96</v>
      </c>
    </row>
    <row r="4" spans="2:4" x14ac:dyDescent="0.2">
      <c r="B4" s="3" t="s">
        <v>105</v>
      </c>
      <c r="C4" s="77">
        <f>C23</f>
        <v>3169358.2</v>
      </c>
      <c r="D4" s="16">
        <f>C4/$C$7</f>
        <v>0.35256779510688541</v>
      </c>
    </row>
    <row r="5" spans="2:4" x14ac:dyDescent="0.2">
      <c r="B5" s="3" t="s">
        <v>106</v>
      </c>
      <c r="C5" s="77">
        <f>C34</f>
        <v>3820000</v>
      </c>
      <c r="D5" s="16">
        <f>C5/$C$7</f>
        <v>0.42494691111541205</v>
      </c>
    </row>
    <row r="6" spans="2:4" x14ac:dyDescent="0.2">
      <c r="B6" s="3" t="s">
        <v>107</v>
      </c>
      <c r="C6" s="77">
        <f>C47</f>
        <v>2000000</v>
      </c>
      <c r="D6" s="16">
        <f>C6/$C$7</f>
        <v>0.22248529377770263</v>
      </c>
    </row>
    <row r="7" spans="2:4" x14ac:dyDescent="0.2">
      <c r="B7" s="3" t="s">
        <v>19</v>
      </c>
      <c r="C7" s="77">
        <f>SUM(C4:C6)</f>
        <v>8989358.1999999993</v>
      </c>
      <c r="D7" s="16"/>
    </row>
    <row r="8" spans="2:4" ht="16" thickBot="1" x14ac:dyDescent="0.25"/>
    <row r="9" spans="2:4" ht="16" thickBot="1" x14ac:dyDescent="0.25">
      <c r="B9" s="185" t="s">
        <v>108</v>
      </c>
      <c r="C9" s="186"/>
      <c r="D9" s="187"/>
    </row>
    <row r="10" spans="2:4" x14ac:dyDescent="0.2">
      <c r="B10" s="41" t="s">
        <v>25</v>
      </c>
      <c r="C10" s="42" t="s">
        <v>2</v>
      </c>
      <c r="D10" s="43" t="s">
        <v>96</v>
      </c>
    </row>
    <row r="11" spans="2:4" x14ac:dyDescent="0.2">
      <c r="B11" s="23" t="s">
        <v>162</v>
      </c>
      <c r="C11" s="76">
        <f>2*150000</f>
        <v>300000</v>
      </c>
      <c r="D11" s="24">
        <f t="shared" ref="D11:D22" si="0">C11/$C$23</f>
        <v>9.4656388160858557E-2</v>
      </c>
    </row>
    <row r="12" spans="2:4" x14ac:dyDescent="0.2">
      <c r="B12" s="23" t="s">
        <v>273</v>
      </c>
      <c r="C12" s="76">
        <v>200000</v>
      </c>
      <c r="D12" s="24">
        <f t="shared" si="0"/>
        <v>6.31042587739057E-2</v>
      </c>
    </row>
    <row r="13" spans="2:4" x14ac:dyDescent="0.2">
      <c r="B13" s="23" t="s">
        <v>274</v>
      </c>
      <c r="C13" s="76">
        <v>50000</v>
      </c>
      <c r="D13" s="24">
        <f t="shared" si="0"/>
        <v>1.5776064693476425E-2</v>
      </c>
    </row>
    <row r="14" spans="2:4" x14ac:dyDescent="0.2">
      <c r="B14" s="23" t="s">
        <v>275</v>
      </c>
      <c r="C14" s="76">
        <v>50000</v>
      </c>
      <c r="D14" s="24">
        <f t="shared" si="0"/>
        <v>1.5776064693476425E-2</v>
      </c>
    </row>
    <row r="15" spans="2:4" x14ac:dyDescent="0.2">
      <c r="B15" s="39" t="s">
        <v>321</v>
      </c>
      <c r="C15" s="115">
        <v>50000</v>
      </c>
      <c r="D15" s="24">
        <f t="shared" si="0"/>
        <v>1.5776064693476425E-2</v>
      </c>
    </row>
    <row r="16" spans="2:4" x14ac:dyDescent="0.2">
      <c r="B16" s="39" t="s">
        <v>323</v>
      </c>
      <c r="C16" s="115">
        <f>3*200000</f>
        <v>600000</v>
      </c>
      <c r="D16" s="24">
        <f t="shared" si="0"/>
        <v>0.18931277632171711</v>
      </c>
    </row>
    <row r="17" spans="2:4" x14ac:dyDescent="0.2">
      <c r="B17" s="23" t="s">
        <v>118</v>
      </c>
      <c r="C17" s="45">
        <v>170000</v>
      </c>
      <c r="D17" s="24">
        <f t="shared" si="0"/>
        <v>5.363861995781985E-2</v>
      </c>
    </row>
    <row r="18" spans="2:4" x14ac:dyDescent="0.2">
      <c r="B18" s="23" t="s">
        <v>119</v>
      </c>
      <c r="C18" s="45">
        <v>100000</v>
      </c>
      <c r="D18" s="24">
        <f t="shared" si="0"/>
        <v>3.155212938695285E-2</v>
      </c>
    </row>
    <row r="19" spans="2:4" x14ac:dyDescent="0.2">
      <c r="B19" s="23" t="s">
        <v>120</v>
      </c>
      <c r="C19" s="45">
        <v>50000</v>
      </c>
      <c r="D19" s="24">
        <f t="shared" si="0"/>
        <v>1.5776064693476425E-2</v>
      </c>
    </row>
    <row r="20" spans="2:4" x14ac:dyDescent="0.2">
      <c r="B20" s="39" t="s">
        <v>376</v>
      </c>
      <c r="C20" s="142">
        <f>('Inversiones iniciales'!D8*0.017%)*12</f>
        <v>99358.200000000012</v>
      </c>
      <c r="D20" s="24">
        <f t="shared" si="0"/>
        <v>3.1349627820547392E-2</v>
      </c>
    </row>
    <row r="21" spans="2:4" x14ac:dyDescent="0.2">
      <c r="B21" s="39" t="s">
        <v>377</v>
      </c>
      <c r="C21" s="142">
        <v>150000</v>
      </c>
      <c r="D21" s="24">
        <f t="shared" si="0"/>
        <v>4.7328194080429278E-2</v>
      </c>
    </row>
    <row r="22" spans="2:4" x14ac:dyDescent="0.2">
      <c r="B22" s="39" t="s">
        <v>400</v>
      </c>
      <c r="C22" s="142">
        <f>4500000*30%</f>
        <v>1350000</v>
      </c>
      <c r="D22" s="141">
        <f t="shared" si="0"/>
        <v>0.42595374672386349</v>
      </c>
    </row>
    <row r="23" spans="2:4" ht="16" thickBot="1" x14ac:dyDescent="0.25">
      <c r="B23" s="25" t="s">
        <v>19</v>
      </c>
      <c r="C23" s="116">
        <f>SUM(C11:C22)</f>
        <v>3169358.2</v>
      </c>
      <c r="D23" s="27">
        <f>SUM(D11:D22)</f>
        <v>1</v>
      </c>
    </row>
    <row r="24" spans="2:4" ht="16" thickBot="1" x14ac:dyDescent="0.25"/>
    <row r="25" spans="2:4" ht="16" thickBot="1" x14ac:dyDescent="0.25">
      <c r="B25" s="179" t="s">
        <v>110</v>
      </c>
      <c r="C25" s="180"/>
      <c r="D25" s="181"/>
    </row>
    <row r="26" spans="2:4" x14ac:dyDescent="0.2">
      <c r="B26" s="20" t="s">
        <v>25</v>
      </c>
      <c r="C26" s="21" t="s">
        <v>2</v>
      </c>
      <c r="D26" s="22" t="s">
        <v>96</v>
      </c>
    </row>
    <row r="27" spans="2:4" x14ac:dyDescent="0.2">
      <c r="B27" s="23" t="s">
        <v>162</v>
      </c>
      <c r="C27" s="76">
        <v>300000</v>
      </c>
      <c r="D27" s="24">
        <f t="shared" ref="D27:D33" si="1">C27/$C$34</f>
        <v>7.8534031413612565E-2</v>
      </c>
    </row>
    <row r="28" spans="2:4" x14ac:dyDescent="0.2">
      <c r="B28" s="23" t="s">
        <v>273</v>
      </c>
      <c r="C28" s="76">
        <v>150000</v>
      </c>
      <c r="D28" s="24">
        <f t="shared" si="1"/>
        <v>3.9267015706806283E-2</v>
      </c>
    </row>
    <row r="29" spans="2:4" x14ac:dyDescent="0.2">
      <c r="B29" s="23" t="s">
        <v>321</v>
      </c>
      <c r="C29" s="76">
        <v>50000</v>
      </c>
      <c r="D29" s="24">
        <f t="shared" si="1"/>
        <v>1.3089005235602094E-2</v>
      </c>
    </row>
    <row r="30" spans="2:4" x14ac:dyDescent="0.2">
      <c r="B30" s="23" t="s">
        <v>323</v>
      </c>
      <c r="C30" s="76">
        <f>3*200000</f>
        <v>600000</v>
      </c>
      <c r="D30" s="24">
        <f t="shared" si="1"/>
        <v>0.15706806282722513</v>
      </c>
    </row>
    <row r="31" spans="2:4" x14ac:dyDescent="0.2">
      <c r="B31" s="39" t="s">
        <v>117</v>
      </c>
      <c r="C31" s="115">
        <v>400000</v>
      </c>
      <c r="D31" s="141">
        <f t="shared" si="1"/>
        <v>0.10471204188481675</v>
      </c>
    </row>
    <row r="32" spans="2:4" x14ac:dyDescent="0.2">
      <c r="B32" s="23" t="s">
        <v>121</v>
      </c>
      <c r="C32" s="76">
        <f>130000*4</f>
        <v>520000</v>
      </c>
      <c r="D32" s="141">
        <f t="shared" si="1"/>
        <v>0.13612565445026178</v>
      </c>
    </row>
    <row r="33" spans="2:7" x14ac:dyDescent="0.2">
      <c r="B33" s="39" t="s">
        <v>400</v>
      </c>
      <c r="C33" s="115">
        <f>4500000*40%</f>
        <v>1800000</v>
      </c>
      <c r="D33" s="141">
        <f t="shared" si="1"/>
        <v>0.47120418848167539</v>
      </c>
    </row>
    <row r="34" spans="2:7" ht="16" thickBot="1" x14ac:dyDescent="0.25">
      <c r="B34" s="25" t="s">
        <v>19</v>
      </c>
      <c r="C34" s="116">
        <f>SUM(C27:C33)</f>
        <v>3820000</v>
      </c>
      <c r="D34" s="27">
        <f>SUM(D27:D32)</f>
        <v>0.52879581151832467</v>
      </c>
    </row>
    <row r="35" spans="2:7" ht="16" thickBot="1" x14ac:dyDescent="0.25"/>
    <row r="36" spans="2:7" ht="16" thickBot="1" x14ac:dyDescent="0.25">
      <c r="B36" s="179" t="s">
        <v>326</v>
      </c>
      <c r="C36" s="180"/>
      <c r="D36" s="181"/>
    </row>
    <row r="37" spans="2:7" x14ac:dyDescent="0.2">
      <c r="B37" s="20" t="s">
        <v>25</v>
      </c>
      <c r="C37" s="21" t="s">
        <v>2</v>
      </c>
      <c r="D37" s="22" t="s">
        <v>96</v>
      </c>
    </row>
    <row r="38" spans="2:7" x14ac:dyDescent="0.2">
      <c r="B38" s="23" t="s">
        <v>75</v>
      </c>
      <c r="C38" s="76">
        <f>'Lista de precios insumos'!E23/'Lista de precios insumos'!C23</f>
        <v>870</v>
      </c>
      <c r="D38" s="24">
        <f>C38/$C$47</f>
        <v>4.35E-4</v>
      </c>
    </row>
    <row r="39" spans="2:7" x14ac:dyDescent="0.2">
      <c r="B39" s="23" t="s">
        <v>76</v>
      </c>
      <c r="C39" s="76">
        <f>'Lista de precios insumos'!E24/'Lista de precios insumos'!C24</f>
        <v>90</v>
      </c>
      <c r="D39" s="24">
        <f>C39/$C$47</f>
        <v>4.5000000000000003E-5</v>
      </c>
    </row>
    <row r="40" spans="2:7" x14ac:dyDescent="0.2">
      <c r="B40" s="23" t="s">
        <v>77</v>
      </c>
      <c r="C40" s="76">
        <f>'Lista de precios insumos'!E25/'Lista de precios insumos'!C25</f>
        <v>300</v>
      </c>
      <c r="D40" s="24">
        <f>C40/$C$47</f>
        <v>1.4999999999999999E-4</v>
      </c>
      <c r="F40" s="3" t="s">
        <v>324</v>
      </c>
      <c r="G40" s="77">
        <f>C38+C39+C40</f>
        <v>1260</v>
      </c>
    </row>
    <row r="41" spans="2:7" ht="16" thickBot="1" x14ac:dyDescent="0.25">
      <c r="B41" s="23" t="s">
        <v>116</v>
      </c>
      <c r="C41" s="76">
        <f>'Lista de precios insumos'!E26/'Lista de precios insumos'!C26</f>
        <v>80</v>
      </c>
      <c r="D41" s="24">
        <f>C41/$C$47</f>
        <v>4.0000000000000003E-5</v>
      </c>
      <c r="F41" s="112" t="s">
        <v>325</v>
      </c>
      <c r="G41" s="77">
        <f>C38+C39+C40+(C41*12)</f>
        <v>2220</v>
      </c>
    </row>
    <row r="42" spans="2:7" ht="16" thickBot="1" x14ac:dyDescent="0.25">
      <c r="B42" s="179" t="s">
        <v>107</v>
      </c>
      <c r="C42" s="180"/>
      <c r="D42" s="181"/>
      <c r="F42" s="75"/>
      <c r="G42" s="75"/>
    </row>
    <row r="43" spans="2:7" x14ac:dyDescent="0.2">
      <c r="B43" s="39" t="s">
        <v>321</v>
      </c>
      <c r="C43" s="115">
        <v>200000</v>
      </c>
      <c r="D43" s="24">
        <f>C43/$C$47</f>
        <v>0.1</v>
      </c>
    </row>
    <row r="44" spans="2:7" x14ac:dyDescent="0.2">
      <c r="B44" s="39" t="s">
        <v>162</v>
      </c>
      <c r="C44" s="115">
        <v>300000</v>
      </c>
      <c r="D44" s="24">
        <f>C44/$C$47</f>
        <v>0.15</v>
      </c>
    </row>
    <row r="45" spans="2:7" x14ac:dyDescent="0.2">
      <c r="B45" s="39" t="s">
        <v>322</v>
      </c>
      <c r="C45" s="115">
        <v>150000</v>
      </c>
      <c r="D45" s="24">
        <f>C45/$C$47</f>
        <v>7.4999999999999997E-2</v>
      </c>
    </row>
    <row r="46" spans="2:7" x14ac:dyDescent="0.2">
      <c r="B46" s="39" t="s">
        <v>400</v>
      </c>
      <c r="C46" s="115">
        <f>4500000*30%</f>
        <v>1350000</v>
      </c>
      <c r="D46" s="24">
        <f>C46/$C$47</f>
        <v>0.67500000000000004</v>
      </c>
    </row>
    <row r="47" spans="2:7" ht="16" thickBot="1" x14ac:dyDescent="0.25">
      <c r="B47" s="25" t="s">
        <v>19</v>
      </c>
      <c r="C47" s="116">
        <f>SUM(C43:C46)</f>
        <v>2000000</v>
      </c>
      <c r="D47" s="27">
        <f>SUM(D43:D46)</f>
        <v>1</v>
      </c>
    </row>
    <row r="48" spans="2:7" ht="16" thickBot="1" x14ac:dyDescent="0.25"/>
    <row r="49" spans="2:4" ht="16" thickBot="1" x14ac:dyDescent="0.25">
      <c r="B49" s="179" t="s">
        <v>111</v>
      </c>
      <c r="C49" s="180"/>
      <c r="D49" s="181"/>
    </row>
    <row r="50" spans="2:4" x14ac:dyDescent="0.2">
      <c r="B50" s="20" t="s">
        <v>25</v>
      </c>
      <c r="C50" s="21" t="s">
        <v>2</v>
      </c>
      <c r="D50" s="22" t="s">
        <v>96</v>
      </c>
    </row>
    <row r="51" spans="2:4" x14ac:dyDescent="0.2">
      <c r="B51" s="23" t="s">
        <v>112</v>
      </c>
      <c r="C51" s="76">
        <v>450000</v>
      </c>
      <c r="D51" s="24">
        <f>C51/$C$55</f>
        <v>0.33333333333333331</v>
      </c>
    </row>
    <row r="52" spans="2:4" x14ac:dyDescent="0.2">
      <c r="B52" s="23" t="s">
        <v>113</v>
      </c>
      <c r="C52" s="76">
        <v>350000</v>
      </c>
      <c r="D52" s="24">
        <f>C52/$C$55</f>
        <v>0.25925925925925924</v>
      </c>
    </row>
    <row r="53" spans="2:4" x14ac:dyDescent="0.2">
      <c r="B53" s="23" t="s">
        <v>114</v>
      </c>
      <c r="C53" s="76">
        <v>150000</v>
      </c>
      <c r="D53" s="24">
        <f>C53/$C$55</f>
        <v>0.1111111111111111</v>
      </c>
    </row>
    <row r="54" spans="2:4" x14ac:dyDescent="0.2">
      <c r="B54" s="23" t="s">
        <v>115</v>
      </c>
      <c r="C54" s="76">
        <v>400000</v>
      </c>
      <c r="D54" s="24">
        <f>C54/$C$55</f>
        <v>0.29629629629629628</v>
      </c>
    </row>
    <row r="55" spans="2:4" ht="16" thickBot="1" x14ac:dyDescent="0.25">
      <c r="B55" s="25" t="s">
        <v>19</v>
      </c>
      <c r="C55" s="116">
        <f>SUM(C51:C54)</f>
        <v>1350000</v>
      </c>
      <c r="D55" s="27">
        <f>SUM(D51:D54)</f>
        <v>1</v>
      </c>
    </row>
  </sheetData>
  <mergeCells count="6">
    <mergeCell ref="B36:D36"/>
    <mergeCell ref="B49:D49"/>
    <mergeCell ref="B2:D2"/>
    <mergeCell ref="B9:D9"/>
    <mergeCell ref="B25:D25"/>
    <mergeCell ref="B42:D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17C51-285A-4F6F-BFB5-4D87DD252A2D}">
  <dimension ref="A2:BM103"/>
  <sheetViews>
    <sheetView topLeftCell="C74" zoomScaleNormal="80" workbookViewId="0">
      <selection activeCell="P101" sqref="P101"/>
    </sheetView>
  </sheetViews>
  <sheetFormatPr baseColWidth="10" defaultRowHeight="15" x14ac:dyDescent="0.2"/>
  <cols>
    <col min="2" max="2" width="37" customWidth="1"/>
    <col min="3" max="3" width="19.1640625" customWidth="1"/>
    <col min="4" max="4" width="20.5" customWidth="1"/>
    <col min="5" max="5" width="16.5" customWidth="1"/>
    <col min="6" max="6" width="16.83203125" customWidth="1"/>
    <col min="7" max="14" width="15.5" customWidth="1"/>
    <col min="15" max="15" width="18.1640625" customWidth="1"/>
    <col min="16" max="65" width="15.5" customWidth="1"/>
  </cols>
  <sheetData>
    <row r="2" spans="1:65" ht="24" customHeight="1" x14ac:dyDescent="0.2">
      <c r="B2" s="170" t="s">
        <v>70</v>
      </c>
      <c r="C2" s="170"/>
      <c r="D2" s="118">
        <f>'Inversiones iniciales'!D6</f>
        <v>8975000</v>
      </c>
    </row>
    <row r="3" spans="1:65" x14ac:dyDescent="0.2">
      <c r="B3" s="170" t="s">
        <v>68</v>
      </c>
      <c r="C3" s="170"/>
      <c r="D3" s="118">
        <f>'Inversiones iniciales'!D4</f>
        <v>18000000</v>
      </c>
    </row>
    <row r="4" spans="1:65" x14ac:dyDescent="0.2">
      <c r="B4" s="170" t="s">
        <v>69</v>
      </c>
      <c r="C4" s="170"/>
      <c r="D4" s="118">
        <f>'Inversiones iniciales'!D5</f>
        <v>12160000</v>
      </c>
    </row>
    <row r="5" spans="1:65" x14ac:dyDescent="0.2">
      <c r="B5" s="170" t="s">
        <v>71</v>
      </c>
      <c r="C5" s="170"/>
      <c r="D5" s="118">
        <f>'Inversiones iniciales'!D7</f>
        <v>9570000</v>
      </c>
    </row>
    <row r="6" spans="1:65" ht="16" thickBot="1" x14ac:dyDescent="0.25"/>
    <row r="7" spans="1:65" ht="16" thickBot="1" x14ac:dyDescent="0.25">
      <c r="B7" s="188" t="s">
        <v>123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90"/>
    </row>
    <row r="9" spans="1:65" x14ac:dyDescent="0.2">
      <c r="A9" s="10"/>
      <c r="B9" s="10"/>
      <c r="C9" s="10"/>
      <c r="E9" s="47">
        <v>0</v>
      </c>
      <c r="F9" s="47">
        <v>1</v>
      </c>
      <c r="G9" s="47">
        <v>2</v>
      </c>
      <c r="H9" s="47">
        <v>3</v>
      </c>
      <c r="I9" s="47">
        <v>4</v>
      </c>
      <c r="J9" s="47">
        <v>5</v>
      </c>
      <c r="K9" s="47">
        <v>6</v>
      </c>
      <c r="L9" s="47">
        <v>7</v>
      </c>
      <c r="M9" s="47">
        <v>8</v>
      </c>
      <c r="N9" s="47">
        <v>9</v>
      </c>
      <c r="O9" s="47">
        <v>10</v>
      </c>
      <c r="P9" s="47">
        <v>11</v>
      </c>
      <c r="Q9" s="47">
        <v>12</v>
      </c>
      <c r="R9" s="47">
        <v>13</v>
      </c>
      <c r="S9" s="47">
        <v>14</v>
      </c>
      <c r="T9" s="47">
        <v>15</v>
      </c>
      <c r="U9" s="47">
        <v>16</v>
      </c>
      <c r="V9" s="47">
        <v>17</v>
      </c>
      <c r="W9" s="47">
        <v>18</v>
      </c>
      <c r="X9" s="47">
        <v>19</v>
      </c>
      <c r="Y9" s="47">
        <v>20</v>
      </c>
      <c r="Z9" s="47">
        <v>21</v>
      </c>
      <c r="AA9" s="47">
        <v>22</v>
      </c>
      <c r="AB9" s="47">
        <v>23</v>
      </c>
      <c r="AC9" s="47">
        <v>24</v>
      </c>
      <c r="AD9" s="47">
        <v>25</v>
      </c>
      <c r="AE9" s="47">
        <v>26</v>
      </c>
      <c r="AF9" s="47">
        <v>27</v>
      </c>
      <c r="AG9" s="47">
        <v>28</v>
      </c>
      <c r="AH9" s="47">
        <v>29</v>
      </c>
      <c r="AI9" s="47">
        <v>30</v>
      </c>
      <c r="AJ9" s="47">
        <v>31</v>
      </c>
      <c r="AK9" s="47">
        <v>32</v>
      </c>
      <c r="AL9" s="47">
        <v>33</v>
      </c>
      <c r="AM9" s="47">
        <v>34</v>
      </c>
      <c r="AN9" s="47">
        <v>35</v>
      </c>
      <c r="AO9" s="47">
        <v>36</v>
      </c>
      <c r="AP9" s="47">
        <v>37</v>
      </c>
      <c r="AQ9" s="47">
        <v>38</v>
      </c>
      <c r="AR9" s="47">
        <v>39</v>
      </c>
      <c r="AS9" s="47">
        <v>40</v>
      </c>
      <c r="AT9" s="47">
        <v>41</v>
      </c>
      <c r="AU9" s="47">
        <v>42</v>
      </c>
      <c r="AV9" s="47">
        <v>43</v>
      </c>
      <c r="AW9" s="47">
        <v>44</v>
      </c>
      <c r="AX9" s="47">
        <v>45</v>
      </c>
      <c r="AY9" s="47">
        <v>46</v>
      </c>
      <c r="AZ9" s="47">
        <v>47</v>
      </c>
      <c r="BA9" s="47">
        <v>48</v>
      </c>
      <c r="BB9" s="47">
        <v>49</v>
      </c>
      <c r="BC9" s="47">
        <v>50</v>
      </c>
      <c r="BD9" s="47">
        <v>51</v>
      </c>
      <c r="BE9" s="47">
        <v>52</v>
      </c>
      <c r="BF9" s="47">
        <v>53</v>
      </c>
      <c r="BG9" s="47">
        <v>54</v>
      </c>
      <c r="BH9" s="47">
        <v>55</v>
      </c>
      <c r="BI9" s="47">
        <v>56</v>
      </c>
      <c r="BJ9" s="47">
        <v>57</v>
      </c>
      <c r="BK9" s="47">
        <v>58</v>
      </c>
      <c r="BL9" s="47">
        <v>59</v>
      </c>
      <c r="BM9" s="47">
        <v>60</v>
      </c>
    </row>
    <row r="10" spans="1:65" x14ac:dyDescent="0.2">
      <c r="E10" s="48">
        <v>45658</v>
      </c>
      <c r="F10" s="48">
        <v>45688</v>
      </c>
      <c r="G10" s="48">
        <v>45716</v>
      </c>
      <c r="H10" s="48">
        <v>45747</v>
      </c>
      <c r="I10" s="48">
        <v>45777</v>
      </c>
      <c r="J10" s="48">
        <v>45808</v>
      </c>
      <c r="K10" s="48">
        <v>45838</v>
      </c>
      <c r="L10" s="48">
        <v>45869</v>
      </c>
      <c r="M10" s="48">
        <v>45900</v>
      </c>
      <c r="N10" s="48">
        <v>45930</v>
      </c>
      <c r="O10" s="48">
        <v>45961</v>
      </c>
      <c r="P10" s="48">
        <v>45991</v>
      </c>
      <c r="Q10" s="48">
        <v>46022</v>
      </c>
      <c r="R10" s="48">
        <v>46053</v>
      </c>
      <c r="S10" s="48">
        <v>46081</v>
      </c>
      <c r="T10" s="48">
        <v>46112</v>
      </c>
      <c r="U10" s="48">
        <v>46142</v>
      </c>
      <c r="V10" s="48">
        <v>46173</v>
      </c>
      <c r="W10" s="48">
        <v>46203</v>
      </c>
      <c r="X10" s="48">
        <v>46234</v>
      </c>
      <c r="Y10" s="48">
        <v>46265</v>
      </c>
      <c r="Z10" s="48">
        <v>46295</v>
      </c>
      <c r="AA10" s="48">
        <v>46326</v>
      </c>
      <c r="AB10" s="48">
        <v>46356</v>
      </c>
      <c r="AC10" s="48">
        <v>46387</v>
      </c>
      <c r="AD10" s="48">
        <v>46418</v>
      </c>
      <c r="AE10" s="48">
        <v>46446</v>
      </c>
      <c r="AF10" s="48">
        <v>46477</v>
      </c>
      <c r="AG10" s="48">
        <v>46507</v>
      </c>
      <c r="AH10" s="48">
        <v>46538</v>
      </c>
      <c r="AI10" s="48">
        <v>46568</v>
      </c>
      <c r="AJ10" s="48">
        <v>46599</v>
      </c>
      <c r="AK10" s="48">
        <v>46630</v>
      </c>
      <c r="AL10" s="48">
        <v>46660</v>
      </c>
      <c r="AM10" s="48">
        <v>46691</v>
      </c>
      <c r="AN10" s="48">
        <v>46721</v>
      </c>
      <c r="AO10" s="48">
        <v>46752</v>
      </c>
      <c r="AP10" s="48">
        <v>46783</v>
      </c>
      <c r="AQ10" s="48">
        <v>46812</v>
      </c>
      <c r="AR10" s="48">
        <v>46843</v>
      </c>
      <c r="AS10" s="48">
        <v>46873</v>
      </c>
      <c r="AT10" s="48">
        <v>46904</v>
      </c>
      <c r="AU10" s="48">
        <v>46934</v>
      </c>
      <c r="AV10" s="48">
        <v>46965</v>
      </c>
      <c r="AW10" s="48">
        <v>46996</v>
      </c>
      <c r="AX10" s="48">
        <v>47026</v>
      </c>
      <c r="AY10" s="48">
        <v>47057</v>
      </c>
      <c r="AZ10" s="48">
        <v>47087</v>
      </c>
      <c r="BA10" s="48">
        <v>47118</v>
      </c>
      <c r="BB10" s="48">
        <v>47149</v>
      </c>
      <c r="BC10" s="48">
        <v>47177</v>
      </c>
      <c r="BD10" s="48">
        <v>47208</v>
      </c>
      <c r="BE10" s="48">
        <v>47238</v>
      </c>
      <c r="BF10" s="48">
        <v>47269</v>
      </c>
      <c r="BG10" s="48">
        <v>47299</v>
      </c>
      <c r="BH10" s="48">
        <v>47330</v>
      </c>
      <c r="BI10" s="48">
        <v>47361</v>
      </c>
      <c r="BJ10" s="48">
        <v>47391</v>
      </c>
      <c r="BK10" s="48">
        <v>47422</v>
      </c>
      <c r="BL10" s="48">
        <v>47452</v>
      </c>
      <c r="BM10" s="48">
        <v>47483</v>
      </c>
    </row>
    <row r="12" spans="1:65" ht="16" x14ac:dyDescent="0.2">
      <c r="B12" s="73" t="str">
        <f>B2</f>
        <v>Maquinaria y equipo</v>
      </c>
      <c r="C12" s="50">
        <v>120</v>
      </c>
      <c r="D12" s="47" t="s">
        <v>124</v>
      </c>
      <c r="E12" s="51">
        <f>$D$2</f>
        <v>8975000</v>
      </c>
      <c r="F12" s="51">
        <f t="shared" ref="F12:BM12" si="0">$D$2</f>
        <v>8975000</v>
      </c>
      <c r="G12" s="51">
        <f t="shared" si="0"/>
        <v>8975000</v>
      </c>
      <c r="H12" s="51">
        <f t="shared" si="0"/>
        <v>8975000</v>
      </c>
      <c r="I12" s="51">
        <f t="shared" si="0"/>
        <v>8975000</v>
      </c>
      <c r="J12" s="51">
        <f t="shared" si="0"/>
        <v>8975000</v>
      </c>
      <c r="K12" s="51">
        <f t="shared" si="0"/>
        <v>8975000</v>
      </c>
      <c r="L12" s="51">
        <f t="shared" si="0"/>
        <v>8975000</v>
      </c>
      <c r="M12" s="51">
        <f t="shared" si="0"/>
        <v>8975000</v>
      </c>
      <c r="N12" s="51">
        <f t="shared" si="0"/>
        <v>8975000</v>
      </c>
      <c r="O12" s="51">
        <f t="shared" si="0"/>
        <v>8975000</v>
      </c>
      <c r="P12" s="51">
        <f t="shared" si="0"/>
        <v>8975000</v>
      </c>
      <c r="Q12" s="51">
        <f t="shared" si="0"/>
        <v>8975000</v>
      </c>
      <c r="R12" s="51">
        <f t="shared" si="0"/>
        <v>8975000</v>
      </c>
      <c r="S12" s="51">
        <f t="shared" si="0"/>
        <v>8975000</v>
      </c>
      <c r="T12" s="51">
        <f t="shared" si="0"/>
        <v>8975000</v>
      </c>
      <c r="U12" s="51">
        <f t="shared" si="0"/>
        <v>8975000</v>
      </c>
      <c r="V12" s="51">
        <f t="shared" si="0"/>
        <v>8975000</v>
      </c>
      <c r="W12" s="51">
        <f t="shared" si="0"/>
        <v>8975000</v>
      </c>
      <c r="X12" s="51">
        <f t="shared" si="0"/>
        <v>8975000</v>
      </c>
      <c r="Y12" s="51">
        <f t="shared" si="0"/>
        <v>8975000</v>
      </c>
      <c r="Z12" s="51">
        <f t="shared" si="0"/>
        <v>8975000</v>
      </c>
      <c r="AA12" s="51">
        <f t="shared" si="0"/>
        <v>8975000</v>
      </c>
      <c r="AB12" s="51">
        <f t="shared" si="0"/>
        <v>8975000</v>
      </c>
      <c r="AC12" s="51">
        <f t="shared" si="0"/>
        <v>8975000</v>
      </c>
      <c r="AD12" s="51">
        <f t="shared" si="0"/>
        <v>8975000</v>
      </c>
      <c r="AE12" s="51">
        <f t="shared" si="0"/>
        <v>8975000</v>
      </c>
      <c r="AF12" s="51">
        <f t="shared" si="0"/>
        <v>8975000</v>
      </c>
      <c r="AG12" s="51">
        <f t="shared" si="0"/>
        <v>8975000</v>
      </c>
      <c r="AH12" s="51">
        <f t="shared" si="0"/>
        <v>8975000</v>
      </c>
      <c r="AI12" s="51">
        <f t="shared" si="0"/>
        <v>8975000</v>
      </c>
      <c r="AJ12" s="51">
        <f t="shared" si="0"/>
        <v>8975000</v>
      </c>
      <c r="AK12" s="51">
        <f t="shared" si="0"/>
        <v>8975000</v>
      </c>
      <c r="AL12" s="51">
        <f t="shared" si="0"/>
        <v>8975000</v>
      </c>
      <c r="AM12" s="51">
        <f t="shared" si="0"/>
        <v>8975000</v>
      </c>
      <c r="AN12" s="51">
        <f t="shared" si="0"/>
        <v>8975000</v>
      </c>
      <c r="AO12" s="51">
        <f t="shared" si="0"/>
        <v>8975000</v>
      </c>
      <c r="AP12" s="51">
        <f t="shared" si="0"/>
        <v>8975000</v>
      </c>
      <c r="AQ12" s="51">
        <f t="shared" si="0"/>
        <v>8975000</v>
      </c>
      <c r="AR12" s="51">
        <f t="shared" si="0"/>
        <v>8975000</v>
      </c>
      <c r="AS12" s="51">
        <f t="shared" si="0"/>
        <v>8975000</v>
      </c>
      <c r="AT12" s="51">
        <f t="shared" si="0"/>
        <v>8975000</v>
      </c>
      <c r="AU12" s="51">
        <f t="shared" si="0"/>
        <v>8975000</v>
      </c>
      <c r="AV12" s="51">
        <f t="shared" si="0"/>
        <v>8975000</v>
      </c>
      <c r="AW12" s="51">
        <f t="shared" si="0"/>
        <v>8975000</v>
      </c>
      <c r="AX12" s="51">
        <f t="shared" si="0"/>
        <v>8975000</v>
      </c>
      <c r="AY12" s="51">
        <f t="shared" si="0"/>
        <v>8975000</v>
      </c>
      <c r="AZ12" s="51">
        <f t="shared" si="0"/>
        <v>8975000</v>
      </c>
      <c r="BA12" s="51">
        <f t="shared" si="0"/>
        <v>8975000</v>
      </c>
      <c r="BB12" s="51">
        <f t="shared" si="0"/>
        <v>8975000</v>
      </c>
      <c r="BC12" s="51">
        <f t="shared" si="0"/>
        <v>8975000</v>
      </c>
      <c r="BD12" s="51">
        <f t="shared" si="0"/>
        <v>8975000</v>
      </c>
      <c r="BE12" s="51">
        <f t="shared" si="0"/>
        <v>8975000</v>
      </c>
      <c r="BF12" s="51">
        <f t="shared" si="0"/>
        <v>8975000</v>
      </c>
      <c r="BG12" s="51">
        <f t="shared" si="0"/>
        <v>8975000</v>
      </c>
      <c r="BH12" s="51">
        <f t="shared" si="0"/>
        <v>8975000</v>
      </c>
      <c r="BI12" s="51">
        <f t="shared" si="0"/>
        <v>8975000</v>
      </c>
      <c r="BJ12" s="51">
        <f t="shared" si="0"/>
        <v>8975000</v>
      </c>
      <c r="BK12" s="51">
        <f t="shared" si="0"/>
        <v>8975000</v>
      </c>
      <c r="BL12" s="51">
        <f t="shared" si="0"/>
        <v>8975000</v>
      </c>
      <c r="BM12" s="51">
        <f t="shared" si="0"/>
        <v>8975000</v>
      </c>
    </row>
    <row r="13" spans="1:65" ht="24" customHeight="1" x14ac:dyDescent="0.2">
      <c r="B13" s="52" t="s">
        <v>125</v>
      </c>
      <c r="C13" s="50">
        <f>C12/12</f>
        <v>10</v>
      </c>
      <c r="D13" s="47" t="s">
        <v>126</v>
      </c>
      <c r="E13" s="51"/>
      <c r="F13" s="51">
        <f>F12/($C$12)</f>
        <v>74791.666666666672</v>
      </c>
      <c r="G13" s="51">
        <f t="shared" ref="G13:BM13" si="1">G12/($C$12)</f>
        <v>74791.666666666672</v>
      </c>
      <c r="H13" s="51">
        <f t="shared" si="1"/>
        <v>74791.666666666672</v>
      </c>
      <c r="I13" s="51">
        <f t="shared" si="1"/>
        <v>74791.666666666672</v>
      </c>
      <c r="J13" s="51">
        <f t="shared" si="1"/>
        <v>74791.666666666672</v>
      </c>
      <c r="K13" s="51">
        <f t="shared" si="1"/>
        <v>74791.666666666672</v>
      </c>
      <c r="L13" s="51">
        <f t="shared" si="1"/>
        <v>74791.666666666672</v>
      </c>
      <c r="M13" s="51">
        <f t="shared" si="1"/>
        <v>74791.666666666672</v>
      </c>
      <c r="N13" s="51">
        <f t="shared" si="1"/>
        <v>74791.666666666672</v>
      </c>
      <c r="O13" s="51">
        <f t="shared" si="1"/>
        <v>74791.666666666672</v>
      </c>
      <c r="P13" s="51">
        <f t="shared" si="1"/>
        <v>74791.666666666672</v>
      </c>
      <c r="Q13" s="51">
        <f t="shared" si="1"/>
        <v>74791.666666666672</v>
      </c>
      <c r="R13" s="51">
        <f t="shared" si="1"/>
        <v>74791.666666666672</v>
      </c>
      <c r="S13" s="51">
        <f t="shared" si="1"/>
        <v>74791.666666666672</v>
      </c>
      <c r="T13" s="51">
        <f t="shared" si="1"/>
        <v>74791.666666666672</v>
      </c>
      <c r="U13" s="51">
        <f t="shared" si="1"/>
        <v>74791.666666666672</v>
      </c>
      <c r="V13" s="51">
        <f t="shared" si="1"/>
        <v>74791.666666666672</v>
      </c>
      <c r="W13" s="51">
        <f t="shared" si="1"/>
        <v>74791.666666666672</v>
      </c>
      <c r="X13" s="51">
        <f t="shared" si="1"/>
        <v>74791.666666666672</v>
      </c>
      <c r="Y13" s="51">
        <f t="shared" si="1"/>
        <v>74791.666666666672</v>
      </c>
      <c r="Z13" s="51">
        <f t="shared" si="1"/>
        <v>74791.666666666672</v>
      </c>
      <c r="AA13" s="51">
        <f t="shared" si="1"/>
        <v>74791.666666666672</v>
      </c>
      <c r="AB13" s="51">
        <f t="shared" si="1"/>
        <v>74791.666666666672</v>
      </c>
      <c r="AC13" s="51">
        <f t="shared" si="1"/>
        <v>74791.666666666672</v>
      </c>
      <c r="AD13" s="51">
        <f t="shared" si="1"/>
        <v>74791.666666666672</v>
      </c>
      <c r="AE13" s="51">
        <f t="shared" si="1"/>
        <v>74791.666666666672</v>
      </c>
      <c r="AF13" s="51">
        <f t="shared" si="1"/>
        <v>74791.666666666672</v>
      </c>
      <c r="AG13" s="51">
        <f t="shared" si="1"/>
        <v>74791.666666666672</v>
      </c>
      <c r="AH13" s="51">
        <f t="shared" si="1"/>
        <v>74791.666666666672</v>
      </c>
      <c r="AI13" s="51">
        <f t="shared" si="1"/>
        <v>74791.666666666672</v>
      </c>
      <c r="AJ13" s="51">
        <f t="shared" si="1"/>
        <v>74791.666666666672</v>
      </c>
      <c r="AK13" s="51">
        <f t="shared" si="1"/>
        <v>74791.666666666672</v>
      </c>
      <c r="AL13" s="51">
        <f t="shared" si="1"/>
        <v>74791.666666666672</v>
      </c>
      <c r="AM13" s="51">
        <f t="shared" si="1"/>
        <v>74791.666666666672</v>
      </c>
      <c r="AN13" s="51">
        <f t="shared" si="1"/>
        <v>74791.666666666672</v>
      </c>
      <c r="AO13" s="51">
        <f t="shared" si="1"/>
        <v>74791.666666666672</v>
      </c>
      <c r="AP13" s="51">
        <f t="shared" si="1"/>
        <v>74791.666666666672</v>
      </c>
      <c r="AQ13" s="51">
        <f t="shared" si="1"/>
        <v>74791.666666666672</v>
      </c>
      <c r="AR13" s="51">
        <f t="shared" si="1"/>
        <v>74791.666666666672</v>
      </c>
      <c r="AS13" s="51">
        <f t="shared" si="1"/>
        <v>74791.666666666672</v>
      </c>
      <c r="AT13" s="51">
        <f t="shared" si="1"/>
        <v>74791.666666666672</v>
      </c>
      <c r="AU13" s="51">
        <f t="shared" si="1"/>
        <v>74791.666666666672</v>
      </c>
      <c r="AV13" s="51">
        <f t="shared" si="1"/>
        <v>74791.666666666672</v>
      </c>
      <c r="AW13" s="51">
        <f t="shared" si="1"/>
        <v>74791.666666666672</v>
      </c>
      <c r="AX13" s="51">
        <f t="shared" si="1"/>
        <v>74791.666666666672</v>
      </c>
      <c r="AY13" s="51">
        <f t="shared" si="1"/>
        <v>74791.666666666672</v>
      </c>
      <c r="AZ13" s="51">
        <f t="shared" si="1"/>
        <v>74791.666666666672</v>
      </c>
      <c r="BA13" s="51">
        <f t="shared" si="1"/>
        <v>74791.666666666672</v>
      </c>
      <c r="BB13" s="51">
        <f t="shared" si="1"/>
        <v>74791.666666666672</v>
      </c>
      <c r="BC13" s="51">
        <f t="shared" si="1"/>
        <v>74791.666666666672</v>
      </c>
      <c r="BD13" s="51">
        <f t="shared" si="1"/>
        <v>74791.666666666672</v>
      </c>
      <c r="BE13" s="51">
        <f t="shared" si="1"/>
        <v>74791.666666666672</v>
      </c>
      <c r="BF13" s="51">
        <f t="shared" si="1"/>
        <v>74791.666666666672</v>
      </c>
      <c r="BG13" s="51">
        <f t="shared" si="1"/>
        <v>74791.666666666672</v>
      </c>
      <c r="BH13" s="51">
        <f t="shared" si="1"/>
        <v>74791.666666666672</v>
      </c>
      <c r="BI13" s="51">
        <f t="shared" si="1"/>
        <v>74791.666666666672</v>
      </c>
      <c r="BJ13" s="51">
        <f t="shared" si="1"/>
        <v>74791.666666666672</v>
      </c>
      <c r="BK13" s="51">
        <f t="shared" si="1"/>
        <v>74791.666666666672</v>
      </c>
      <c r="BL13" s="51">
        <f t="shared" si="1"/>
        <v>74791.666666666672</v>
      </c>
      <c r="BM13" s="51">
        <f t="shared" si="1"/>
        <v>74791.666666666672</v>
      </c>
    </row>
    <row r="14" spans="1:65" ht="24" customHeight="1" x14ac:dyDescent="0.2">
      <c r="B14" s="52" t="s">
        <v>127</v>
      </c>
      <c r="C14" s="52"/>
      <c r="D14" s="52"/>
      <c r="E14" s="51"/>
      <c r="F14" s="51">
        <f>E14+F13</f>
        <v>74791.666666666672</v>
      </c>
      <c r="G14" s="51">
        <f>F14+G13</f>
        <v>149583.33333333334</v>
      </c>
      <c r="H14" s="51">
        <f t="shared" ref="H14:BM14" si="2">G14+H13</f>
        <v>224375</v>
      </c>
      <c r="I14" s="51">
        <f t="shared" si="2"/>
        <v>299166.66666666669</v>
      </c>
      <c r="J14" s="51">
        <f t="shared" si="2"/>
        <v>373958.33333333337</v>
      </c>
      <c r="K14" s="51">
        <f t="shared" si="2"/>
        <v>448750.00000000006</v>
      </c>
      <c r="L14" s="51">
        <f t="shared" si="2"/>
        <v>523541.66666666674</v>
      </c>
      <c r="M14" s="51">
        <f t="shared" si="2"/>
        <v>598333.33333333337</v>
      </c>
      <c r="N14" s="51">
        <f t="shared" si="2"/>
        <v>673125</v>
      </c>
      <c r="O14" s="51">
        <f t="shared" si="2"/>
        <v>747916.66666666663</v>
      </c>
      <c r="P14" s="51">
        <f t="shared" si="2"/>
        <v>822708.33333333326</v>
      </c>
      <c r="Q14" s="51">
        <f t="shared" si="2"/>
        <v>897499.99999999988</v>
      </c>
      <c r="R14" s="51">
        <f t="shared" si="2"/>
        <v>972291.66666666651</v>
      </c>
      <c r="S14" s="51">
        <f t="shared" si="2"/>
        <v>1047083.3333333331</v>
      </c>
      <c r="T14" s="51">
        <f t="shared" si="2"/>
        <v>1121874.9999999998</v>
      </c>
      <c r="U14" s="51">
        <f t="shared" si="2"/>
        <v>1196666.6666666665</v>
      </c>
      <c r="V14" s="51">
        <f t="shared" si="2"/>
        <v>1271458.3333333333</v>
      </c>
      <c r="W14" s="51">
        <f t="shared" si="2"/>
        <v>1346250</v>
      </c>
      <c r="X14" s="51">
        <f t="shared" si="2"/>
        <v>1421041.6666666667</v>
      </c>
      <c r="Y14" s="51">
        <f t="shared" si="2"/>
        <v>1495833.3333333335</v>
      </c>
      <c r="Z14" s="51">
        <f t="shared" si="2"/>
        <v>1570625.0000000002</v>
      </c>
      <c r="AA14" s="51">
        <f t="shared" si="2"/>
        <v>1645416.666666667</v>
      </c>
      <c r="AB14" s="51">
        <f t="shared" si="2"/>
        <v>1720208.3333333337</v>
      </c>
      <c r="AC14" s="51">
        <f t="shared" si="2"/>
        <v>1795000.0000000005</v>
      </c>
      <c r="AD14" s="51">
        <f t="shared" si="2"/>
        <v>1869791.6666666672</v>
      </c>
      <c r="AE14" s="51">
        <f t="shared" si="2"/>
        <v>1944583.333333334</v>
      </c>
      <c r="AF14" s="51">
        <f t="shared" si="2"/>
        <v>2019375.0000000007</v>
      </c>
      <c r="AG14" s="51">
        <f t="shared" si="2"/>
        <v>2094166.6666666674</v>
      </c>
      <c r="AH14" s="51">
        <f t="shared" si="2"/>
        <v>2168958.333333334</v>
      </c>
      <c r="AI14" s="51">
        <f t="shared" si="2"/>
        <v>2243750.0000000005</v>
      </c>
      <c r="AJ14" s="51">
        <f t="shared" si="2"/>
        <v>2318541.666666667</v>
      </c>
      <c r="AK14" s="51">
        <f t="shared" si="2"/>
        <v>2393333.3333333335</v>
      </c>
      <c r="AL14" s="51">
        <f t="shared" si="2"/>
        <v>2468125</v>
      </c>
      <c r="AM14" s="51">
        <f t="shared" si="2"/>
        <v>2542916.6666666665</v>
      </c>
      <c r="AN14" s="51">
        <f t="shared" si="2"/>
        <v>2617708.333333333</v>
      </c>
      <c r="AO14" s="51">
        <f t="shared" si="2"/>
        <v>2692499.9999999995</v>
      </c>
      <c r="AP14" s="51">
        <f t="shared" si="2"/>
        <v>2767291.666666666</v>
      </c>
      <c r="AQ14" s="51">
        <f t="shared" si="2"/>
        <v>2842083.3333333326</v>
      </c>
      <c r="AR14" s="51">
        <f t="shared" si="2"/>
        <v>2916874.9999999991</v>
      </c>
      <c r="AS14" s="51">
        <f t="shared" si="2"/>
        <v>2991666.6666666656</v>
      </c>
      <c r="AT14" s="51">
        <f t="shared" si="2"/>
        <v>3066458.3333333321</v>
      </c>
      <c r="AU14" s="51">
        <f t="shared" si="2"/>
        <v>3141249.9999999986</v>
      </c>
      <c r="AV14" s="51">
        <f t="shared" si="2"/>
        <v>3216041.6666666651</v>
      </c>
      <c r="AW14" s="51">
        <f t="shared" si="2"/>
        <v>3290833.3333333316</v>
      </c>
      <c r="AX14" s="51">
        <f t="shared" si="2"/>
        <v>3365624.9999999981</v>
      </c>
      <c r="AY14" s="51">
        <f t="shared" si="2"/>
        <v>3440416.6666666646</v>
      </c>
      <c r="AZ14" s="51">
        <f t="shared" si="2"/>
        <v>3515208.3333333312</v>
      </c>
      <c r="BA14" s="51">
        <f t="shared" si="2"/>
        <v>3589999.9999999977</v>
      </c>
      <c r="BB14" s="51">
        <f t="shared" si="2"/>
        <v>3664791.6666666642</v>
      </c>
      <c r="BC14" s="51">
        <f t="shared" si="2"/>
        <v>3739583.3333333307</v>
      </c>
      <c r="BD14" s="51">
        <f t="shared" si="2"/>
        <v>3814374.9999999972</v>
      </c>
      <c r="BE14" s="51">
        <f t="shared" si="2"/>
        <v>3889166.6666666637</v>
      </c>
      <c r="BF14" s="51">
        <f t="shared" si="2"/>
        <v>3963958.3333333302</v>
      </c>
      <c r="BG14" s="51">
        <f t="shared" si="2"/>
        <v>4038749.9999999967</v>
      </c>
      <c r="BH14" s="51">
        <f t="shared" si="2"/>
        <v>4113541.6666666633</v>
      </c>
      <c r="BI14" s="51">
        <f t="shared" si="2"/>
        <v>4188333.3333333298</v>
      </c>
      <c r="BJ14" s="51">
        <f t="shared" si="2"/>
        <v>4263124.9999999963</v>
      </c>
      <c r="BK14" s="51">
        <f t="shared" si="2"/>
        <v>4337916.6666666633</v>
      </c>
      <c r="BL14" s="51">
        <f t="shared" si="2"/>
        <v>4412708.3333333302</v>
      </c>
      <c r="BM14" s="51">
        <f t="shared" si="2"/>
        <v>4487499.9999999972</v>
      </c>
    </row>
    <row r="15" spans="1:65" ht="24" customHeight="1" x14ac:dyDescent="0.2">
      <c r="B15" s="52" t="s">
        <v>128</v>
      </c>
      <c r="C15" s="52"/>
      <c r="D15" s="52"/>
      <c r="E15" s="51">
        <f>E12-E14</f>
        <v>8975000</v>
      </c>
      <c r="F15" s="51">
        <f>F12-F14</f>
        <v>8900208.333333334</v>
      </c>
      <c r="G15" s="51">
        <f t="shared" ref="G15:BM15" si="3">G12-G14</f>
        <v>8825416.666666666</v>
      </c>
      <c r="H15" s="51">
        <f>H12-H14</f>
        <v>8750625</v>
      </c>
      <c r="I15" s="51">
        <f t="shared" si="3"/>
        <v>8675833.333333334</v>
      </c>
      <c r="J15" s="51">
        <f t="shared" si="3"/>
        <v>8601041.666666666</v>
      </c>
      <c r="K15" s="51">
        <f t="shared" si="3"/>
        <v>8526250</v>
      </c>
      <c r="L15" s="51">
        <f t="shared" si="3"/>
        <v>8451458.333333334</v>
      </c>
      <c r="M15" s="51">
        <f t="shared" si="3"/>
        <v>8376666.666666667</v>
      </c>
      <c r="N15" s="51">
        <f t="shared" si="3"/>
        <v>8301875</v>
      </c>
      <c r="O15" s="51">
        <f t="shared" si="3"/>
        <v>8227083.333333333</v>
      </c>
      <c r="P15" s="51">
        <f t="shared" si="3"/>
        <v>8152291.666666667</v>
      </c>
      <c r="Q15" s="51">
        <f t="shared" si="3"/>
        <v>8077500</v>
      </c>
      <c r="R15" s="51">
        <f t="shared" si="3"/>
        <v>8002708.333333334</v>
      </c>
      <c r="S15" s="51">
        <f t="shared" si="3"/>
        <v>7927916.666666667</v>
      </c>
      <c r="T15" s="51">
        <f t="shared" si="3"/>
        <v>7853125</v>
      </c>
      <c r="U15" s="51">
        <f t="shared" si="3"/>
        <v>7778333.333333334</v>
      </c>
      <c r="V15" s="51">
        <f t="shared" si="3"/>
        <v>7703541.666666667</v>
      </c>
      <c r="W15" s="51">
        <f t="shared" si="3"/>
        <v>7628750</v>
      </c>
      <c r="X15" s="51">
        <f t="shared" si="3"/>
        <v>7553958.333333333</v>
      </c>
      <c r="Y15" s="51">
        <f t="shared" si="3"/>
        <v>7479166.666666666</v>
      </c>
      <c r="Z15" s="51">
        <f t="shared" si="3"/>
        <v>7404375</v>
      </c>
      <c r="AA15" s="51">
        <f t="shared" si="3"/>
        <v>7329583.333333333</v>
      </c>
      <c r="AB15" s="51">
        <f t="shared" si="3"/>
        <v>7254791.666666666</v>
      </c>
      <c r="AC15" s="51">
        <f t="shared" si="3"/>
        <v>7180000</v>
      </c>
      <c r="AD15" s="51">
        <f t="shared" si="3"/>
        <v>7105208.333333333</v>
      </c>
      <c r="AE15" s="51">
        <f t="shared" si="3"/>
        <v>7030416.666666666</v>
      </c>
      <c r="AF15" s="51">
        <f t="shared" si="3"/>
        <v>6955624.9999999991</v>
      </c>
      <c r="AG15" s="51">
        <f t="shared" si="3"/>
        <v>6880833.3333333321</v>
      </c>
      <c r="AH15" s="51">
        <f t="shared" si="3"/>
        <v>6806041.666666666</v>
      </c>
      <c r="AI15" s="51">
        <f t="shared" si="3"/>
        <v>6731250</v>
      </c>
      <c r="AJ15" s="51">
        <f t="shared" si="3"/>
        <v>6656458.333333333</v>
      </c>
      <c r="AK15" s="51">
        <f t="shared" si="3"/>
        <v>6581666.666666666</v>
      </c>
      <c r="AL15" s="51">
        <f t="shared" si="3"/>
        <v>6506875</v>
      </c>
      <c r="AM15" s="51">
        <f t="shared" si="3"/>
        <v>6432083.333333334</v>
      </c>
      <c r="AN15" s="51">
        <f t="shared" si="3"/>
        <v>6357291.666666667</v>
      </c>
      <c r="AO15" s="51">
        <f t="shared" si="3"/>
        <v>6282500</v>
      </c>
      <c r="AP15" s="51">
        <f t="shared" si="3"/>
        <v>6207708.333333334</v>
      </c>
      <c r="AQ15" s="51">
        <f t="shared" si="3"/>
        <v>6132916.6666666679</v>
      </c>
      <c r="AR15" s="51">
        <f t="shared" si="3"/>
        <v>6058125.0000000009</v>
      </c>
      <c r="AS15" s="51">
        <f t="shared" si="3"/>
        <v>5983333.333333334</v>
      </c>
      <c r="AT15" s="51">
        <f t="shared" si="3"/>
        <v>5908541.6666666679</v>
      </c>
      <c r="AU15" s="51">
        <f t="shared" si="3"/>
        <v>5833750.0000000019</v>
      </c>
      <c r="AV15" s="51">
        <f t="shared" si="3"/>
        <v>5758958.3333333349</v>
      </c>
      <c r="AW15" s="51">
        <f t="shared" si="3"/>
        <v>5684166.6666666679</v>
      </c>
      <c r="AX15" s="51">
        <f t="shared" si="3"/>
        <v>5609375.0000000019</v>
      </c>
      <c r="AY15" s="51">
        <f t="shared" si="3"/>
        <v>5534583.3333333358</v>
      </c>
      <c r="AZ15" s="51">
        <f t="shared" si="3"/>
        <v>5459791.6666666688</v>
      </c>
      <c r="BA15" s="51">
        <f t="shared" si="3"/>
        <v>5385000.0000000019</v>
      </c>
      <c r="BB15" s="51">
        <f t="shared" si="3"/>
        <v>5310208.3333333358</v>
      </c>
      <c r="BC15" s="51">
        <f t="shared" si="3"/>
        <v>5235416.6666666698</v>
      </c>
      <c r="BD15" s="51">
        <f t="shared" si="3"/>
        <v>5160625.0000000028</v>
      </c>
      <c r="BE15" s="51">
        <f t="shared" si="3"/>
        <v>5085833.3333333358</v>
      </c>
      <c r="BF15" s="51">
        <f t="shared" si="3"/>
        <v>5011041.6666666698</v>
      </c>
      <c r="BG15" s="51">
        <f t="shared" si="3"/>
        <v>4936250.0000000037</v>
      </c>
      <c r="BH15" s="51">
        <f t="shared" si="3"/>
        <v>4861458.3333333367</v>
      </c>
      <c r="BI15" s="51">
        <f t="shared" si="3"/>
        <v>4786666.6666666698</v>
      </c>
      <c r="BJ15" s="51">
        <f t="shared" si="3"/>
        <v>4711875.0000000037</v>
      </c>
      <c r="BK15" s="51">
        <f t="shared" si="3"/>
        <v>4637083.3333333367</v>
      </c>
      <c r="BL15" s="51">
        <f t="shared" si="3"/>
        <v>4562291.6666666698</v>
      </c>
      <c r="BM15" s="51">
        <f t="shared" si="3"/>
        <v>4487500.0000000028</v>
      </c>
    </row>
    <row r="16" spans="1:65" x14ac:dyDescent="0.2"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</row>
    <row r="17" spans="1:65" ht="16" x14ac:dyDescent="0.2">
      <c r="B17" s="73" t="str">
        <f>B3</f>
        <v>Construcción</v>
      </c>
      <c r="C17" s="50">
        <v>240</v>
      </c>
      <c r="D17" s="47" t="s">
        <v>124</v>
      </c>
      <c r="E17" s="51">
        <f>$D$3</f>
        <v>18000000</v>
      </c>
      <c r="F17" s="51">
        <f t="shared" ref="F17:BM17" si="4">$D$3</f>
        <v>18000000</v>
      </c>
      <c r="G17" s="51">
        <f t="shared" si="4"/>
        <v>18000000</v>
      </c>
      <c r="H17" s="51">
        <f t="shared" si="4"/>
        <v>18000000</v>
      </c>
      <c r="I17" s="51">
        <f t="shared" si="4"/>
        <v>18000000</v>
      </c>
      <c r="J17" s="51">
        <f t="shared" si="4"/>
        <v>18000000</v>
      </c>
      <c r="K17" s="51">
        <f t="shared" si="4"/>
        <v>18000000</v>
      </c>
      <c r="L17" s="51">
        <f t="shared" si="4"/>
        <v>18000000</v>
      </c>
      <c r="M17" s="51">
        <f t="shared" si="4"/>
        <v>18000000</v>
      </c>
      <c r="N17" s="51">
        <f t="shared" si="4"/>
        <v>18000000</v>
      </c>
      <c r="O17" s="51">
        <f t="shared" si="4"/>
        <v>18000000</v>
      </c>
      <c r="P17" s="51">
        <f t="shared" si="4"/>
        <v>18000000</v>
      </c>
      <c r="Q17" s="51">
        <f t="shared" si="4"/>
        <v>18000000</v>
      </c>
      <c r="R17" s="51">
        <f t="shared" si="4"/>
        <v>18000000</v>
      </c>
      <c r="S17" s="51">
        <f t="shared" si="4"/>
        <v>18000000</v>
      </c>
      <c r="T17" s="51">
        <f t="shared" si="4"/>
        <v>18000000</v>
      </c>
      <c r="U17" s="51">
        <f t="shared" si="4"/>
        <v>18000000</v>
      </c>
      <c r="V17" s="51">
        <f t="shared" si="4"/>
        <v>18000000</v>
      </c>
      <c r="W17" s="51">
        <f t="shared" si="4"/>
        <v>18000000</v>
      </c>
      <c r="X17" s="51">
        <f t="shared" si="4"/>
        <v>18000000</v>
      </c>
      <c r="Y17" s="51">
        <f t="shared" si="4"/>
        <v>18000000</v>
      </c>
      <c r="Z17" s="51">
        <f t="shared" si="4"/>
        <v>18000000</v>
      </c>
      <c r="AA17" s="51">
        <f t="shared" si="4"/>
        <v>18000000</v>
      </c>
      <c r="AB17" s="51">
        <f t="shared" si="4"/>
        <v>18000000</v>
      </c>
      <c r="AC17" s="51">
        <f t="shared" si="4"/>
        <v>18000000</v>
      </c>
      <c r="AD17" s="51">
        <f t="shared" si="4"/>
        <v>18000000</v>
      </c>
      <c r="AE17" s="51">
        <f t="shared" si="4"/>
        <v>18000000</v>
      </c>
      <c r="AF17" s="51">
        <f t="shared" si="4"/>
        <v>18000000</v>
      </c>
      <c r="AG17" s="51">
        <f t="shared" si="4"/>
        <v>18000000</v>
      </c>
      <c r="AH17" s="51">
        <f t="shared" si="4"/>
        <v>18000000</v>
      </c>
      <c r="AI17" s="51">
        <f t="shared" si="4"/>
        <v>18000000</v>
      </c>
      <c r="AJ17" s="51">
        <f t="shared" si="4"/>
        <v>18000000</v>
      </c>
      <c r="AK17" s="51">
        <f t="shared" si="4"/>
        <v>18000000</v>
      </c>
      <c r="AL17" s="51">
        <f t="shared" si="4"/>
        <v>18000000</v>
      </c>
      <c r="AM17" s="51">
        <f t="shared" si="4"/>
        <v>18000000</v>
      </c>
      <c r="AN17" s="51">
        <f t="shared" si="4"/>
        <v>18000000</v>
      </c>
      <c r="AO17" s="51">
        <f t="shared" si="4"/>
        <v>18000000</v>
      </c>
      <c r="AP17" s="51">
        <f t="shared" si="4"/>
        <v>18000000</v>
      </c>
      <c r="AQ17" s="51">
        <f t="shared" si="4"/>
        <v>18000000</v>
      </c>
      <c r="AR17" s="51">
        <f t="shared" si="4"/>
        <v>18000000</v>
      </c>
      <c r="AS17" s="51">
        <f t="shared" si="4"/>
        <v>18000000</v>
      </c>
      <c r="AT17" s="51">
        <f t="shared" si="4"/>
        <v>18000000</v>
      </c>
      <c r="AU17" s="51">
        <f t="shared" si="4"/>
        <v>18000000</v>
      </c>
      <c r="AV17" s="51">
        <f t="shared" si="4"/>
        <v>18000000</v>
      </c>
      <c r="AW17" s="51">
        <f t="shared" si="4"/>
        <v>18000000</v>
      </c>
      <c r="AX17" s="51">
        <f t="shared" si="4"/>
        <v>18000000</v>
      </c>
      <c r="AY17" s="51">
        <f t="shared" si="4"/>
        <v>18000000</v>
      </c>
      <c r="AZ17" s="51">
        <f t="shared" si="4"/>
        <v>18000000</v>
      </c>
      <c r="BA17" s="51">
        <f t="shared" si="4"/>
        <v>18000000</v>
      </c>
      <c r="BB17" s="51">
        <f t="shared" si="4"/>
        <v>18000000</v>
      </c>
      <c r="BC17" s="51">
        <f t="shared" si="4"/>
        <v>18000000</v>
      </c>
      <c r="BD17" s="51">
        <f t="shared" si="4"/>
        <v>18000000</v>
      </c>
      <c r="BE17" s="51">
        <f t="shared" si="4"/>
        <v>18000000</v>
      </c>
      <c r="BF17" s="51">
        <f t="shared" si="4"/>
        <v>18000000</v>
      </c>
      <c r="BG17" s="51">
        <f t="shared" si="4"/>
        <v>18000000</v>
      </c>
      <c r="BH17" s="51">
        <f t="shared" si="4"/>
        <v>18000000</v>
      </c>
      <c r="BI17" s="51">
        <f t="shared" si="4"/>
        <v>18000000</v>
      </c>
      <c r="BJ17" s="51">
        <f t="shared" si="4"/>
        <v>18000000</v>
      </c>
      <c r="BK17" s="51">
        <f t="shared" si="4"/>
        <v>18000000</v>
      </c>
      <c r="BL17" s="51">
        <f t="shared" si="4"/>
        <v>18000000</v>
      </c>
      <c r="BM17" s="51">
        <f t="shared" si="4"/>
        <v>18000000</v>
      </c>
    </row>
    <row r="18" spans="1:65" ht="27.75" customHeight="1" x14ac:dyDescent="0.2">
      <c r="B18" s="52" t="str">
        <f>B13</f>
        <v>Depreciación del periodo</v>
      </c>
      <c r="C18" s="50">
        <f>C17/12</f>
        <v>20</v>
      </c>
      <c r="D18" s="47" t="s">
        <v>126</v>
      </c>
      <c r="E18" s="51"/>
      <c r="F18" s="51">
        <f t="shared" ref="F18:BM18" si="5">E17/$C$17</f>
        <v>75000</v>
      </c>
      <c r="G18" s="51">
        <f t="shared" si="5"/>
        <v>75000</v>
      </c>
      <c r="H18" s="51">
        <f t="shared" si="5"/>
        <v>75000</v>
      </c>
      <c r="I18" s="51">
        <f t="shared" si="5"/>
        <v>75000</v>
      </c>
      <c r="J18" s="51">
        <f t="shared" si="5"/>
        <v>75000</v>
      </c>
      <c r="K18" s="51">
        <f t="shared" si="5"/>
        <v>75000</v>
      </c>
      <c r="L18" s="51">
        <f t="shared" si="5"/>
        <v>75000</v>
      </c>
      <c r="M18" s="51">
        <f t="shared" si="5"/>
        <v>75000</v>
      </c>
      <c r="N18" s="51">
        <f t="shared" si="5"/>
        <v>75000</v>
      </c>
      <c r="O18" s="51">
        <f t="shared" si="5"/>
        <v>75000</v>
      </c>
      <c r="P18" s="51">
        <f t="shared" si="5"/>
        <v>75000</v>
      </c>
      <c r="Q18" s="51">
        <f t="shared" si="5"/>
        <v>75000</v>
      </c>
      <c r="R18" s="51">
        <f t="shared" si="5"/>
        <v>75000</v>
      </c>
      <c r="S18" s="51">
        <f t="shared" si="5"/>
        <v>75000</v>
      </c>
      <c r="T18" s="51">
        <f t="shared" si="5"/>
        <v>75000</v>
      </c>
      <c r="U18" s="51">
        <f t="shared" si="5"/>
        <v>75000</v>
      </c>
      <c r="V18" s="51">
        <f t="shared" si="5"/>
        <v>75000</v>
      </c>
      <c r="W18" s="51">
        <f t="shared" si="5"/>
        <v>75000</v>
      </c>
      <c r="X18" s="51">
        <f t="shared" si="5"/>
        <v>75000</v>
      </c>
      <c r="Y18" s="51">
        <f t="shared" si="5"/>
        <v>75000</v>
      </c>
      <c r="Z18" s="51">
        <f t="shared" si="5"/>
        <v>75000</v>
      </c>
      <c r="AA18" s="51">
        <f t="shared" si="5"/>
        <v>75000</v>
      </c>
      <c r="AB18" s="51">
        <f t="shared" si="5"/>
        <v>75000</v>
      </c>
      <c r="AC18" s="51">
        <f t="shared" si="5"/>
        <v>75000</v>
      </c>
      <c r="AD18" s="51">
        <f t="shared" si="5"/>
        <v>75000</v>
      </c>
      <c r="AE18" s="51">
        <f t="shared" si="5"/>
        <v>75000</v>
      </c>
      <c r="AF18" s="51">
        <f t="shared" si="5"/>
        <v>75000</v>
      </c>
      <c r="AG18" s="51">
        <f t="shared" si="5"/>
        <v>75000</v>
      </c>
      <c r="AH18" s="51">
        <f t="shared" si="5"/>
        <v>75000</v>
      </c>
      <c r="AI18" s="51">
        <f t="shared" si="5"/>
        <v>75000</v>
      </c>
      <c r="AJ18" s="51">
        <f t="shared" si="5"/>
        <v>75000</v>
      </c>
      <c r="AK18" s="51">
        <f t="shared" si="5"/>
        <v>75000</v>
      </c>
      <c r="AL18" s="51">
        <f t="shared" si="5"/>
        <v>75000</v>
      </c>
      <c r="AM18" s="51">
        <f t="shared" si="5"/>
        <v>75000</v>
      </c>
      <c r="AN18" s="51">
        <f t="shared" si="5"/>
        <v>75000</v>
      </c>
      <c r="AO18" s="51">
        <f t="shared" si="5"/>
        <v>75000</v>
      </c>
      <c r="AP18" s="51">
        <f t="shared" si="5"/>
        <v>75000</v>
      </c>
      <c r="AQ18" s="51">
        <f t="shared" si="5"/>
        <v>75000</v>
      </c>
      <c r="AR18" s="51">
        <f t="shared" si="5"/>
        <v>75000</v>
      </c>
      <c r="AS18" s="51">
        <f t="shared" si="5"/>
        <v>75000</v>
      </c>
      <c r="AT18" s="51">
        <f t="shared" si="5"/>
        <v>75000</v>
      </c>
      <c r="AU18" s="51">
        <f t="shared" si="5"/>
        <v>75000</v>
      </c>
      <c r="AV18" s="51">
        <f t="shared" si="5"/>
        <v>75000</v>
      </c>
      <c r="AW18" s="51">
        <f t="shared" si="5"/>
        <v>75000</v>
      </c>
      <c r="AX18" s="51">
        <f t="shared" si="5"/>
        <v>75000</v>
      </c>
      <c r="AY18" s="51">
        <f t="shared" si="5"/>
        <v>75000</v>
      </c>
      <c r="AZ18" s="51">
        <f t="shared" si="5"/>
        <v>75000</v>
      </c>
      <c r="BA18" s="51">
        <f t="shared" si="5"/>
        <v>75000</v>
      </c>
      <c r="BB18" s="51">
        <f t="shared" si="5"/>
        <v>75000</v>
      </c>
      <c r="BC18" s="51">
        <f t="shared" si="5"/>
        <v>75000</v>
      </c>
      <c r="BD18" s="51">
        <f t="shared" si="5"/>
        <v>75000</v>
      </c>
      <c r="BE18" s="51">
        <f t="shared" si="5"/>
        <v>75000</v>
      </c>
      <c r="BF18" s="51">
        <f t="shared" si="5"/>
        <v>75000</v>
      </c>
      <c r="BG18" s="51">
        <f t="shared" si="5"/>
        <v>75000</v>
      </c>
      <c r="BH18" s="51">
        <f t="shared" si="5"/>
        <v>75000</v>
      </c>
      <c r="BI18" s="51">
        <f t="shared" si="5"/>
        <v>75000</v>
      </c>
      <c r="BJ18" s="51">
        <f t="shared" si="5"/>
        <v>75000</v>
      </c>
      <c r="BK18" s="51">
        <f t="shared" si="5"/>
        <v>75000</v>
      </c>
      <c r="BL18" s="51">
        <f t="shared" si="5"/>
        <v>75000</v>
      </c>
      <c r="BM18" s="51">
        <f t="shared" si="5"/>
        <v>75000</v>
      </c>
    </row>
    <row r="19" spans="1:65" ht="27.75" customHeight="1" x14ac:dyDescent="0.2">
      <c r="B19" s="52" t="str">
        <f>B14</f>
        <v>Depreciación acumulada</v>
      </c>
      <c r="C19" s="52"/>
      <c r="D19" s="52"/>
      <c r="E19" s="51"/>
      <c r="F19" s="51">
        <f>E19+F18</f>
        <v>75000</v>
      </c>
      <c r="G19" s="51">
        <f t="shared" ref="G19:BM19" si="6">F19+G18</f>
        <v>150000</v>
      </c>
      <c r="H19" s="51">
        <f t="shared" si="6"/>
        <v>225000</v>
      </c>
      <c r="I19" s="51">
        <f t="shared" si="6"/>
        <v>300000</v>
      </c>
      <c r="J19" s="51">
        <f t="shared" si="6"/>
        <v>375000</v>
      </c>
      <c r="K19" s="51">
        <f t="shared" si="6"/>
        <v>450000</v>
      </c>
      <c r="L19" s="51">
        <f t="shared" si="6"/>
        <v>525000</v>
      </c>
      <c r="M19" s="51">
        <f t="shared" si="6"/>
        <v>600000</v>
      </c>
      <c r="N19" s="51">
        <f t="shared" si="6"/>
        <v>675000</v>
      </c>
      <c r="O19" s="51">
        <f t="shared" si="6"/>
        <v>750000</v>
      </c>
      <c r="P19" s="51">
        <f t="shared" si="6"/>
        <v>825000</v>
      </c>
      <c r="Q19" s="51">
        <f t="shared" si="6"/>
        <v>900000</v>
      </c>
      <c r="R19" s="51">
        <f t="shared" si="6"/>
        <v>975000</v>
      </c>
      <c r="S19" s="51">
        <f t="shared" si="6"/>
        <v>1050000</v>
      </c>
      <c r="T19" s="51">
        <f t="shared" si="6"/>
        <v>1125000</v>
      </c>
      <c r="U19" s="51">
        <f t="shared" si="6"/>
        <v>1200000</v>
      </c>
      <c r="V19" s="51">
        <f t="shared" si="6"/>
        <v>1275000</v>
      </c>
      <c r="W19" s="51">
        <f t="shared" si="6"/>
        <v>1350000</v>
      </c>
      <c r="X19" s="51">
        <f t="shared" si="6"/>
        <v>1425000</v>
      </c>
      <c r="Y19" s="51">
        <f t="shared" si="6"/>
        <v>1500000</v>
      </c>
      <c r="Z19" s="51">
        <f t="shared" si="6"/>
        <v>1575000</v>
      </c>
      <c r="AA19" s="51">
        <f t="shared" si="6"/>
        <v>1650000</v>
      </c>
      <c r="AB19" s="51">
        <f t="shared" si="6"/>
        <v>1725000</v>
      </c>
      <c r="AC19" s="51">
        <f t="shared" si="6"/>
        <v>1800000</v>
      </c>
      <c r="AD19" s="51">
        <f t="shared" si="6"/>
        <v>1875000</v>
      </c>
      <c r="AE19" s="51">
        <f t="shared" si="6"/>
        <v>1950000</v>
      </c>
      <c r="AF19" s="51">
        <f t="shared" si="6"/>
        <v>2025000</v>
      </c>
      <c r="AG19" s="51">
        <f t="shared" si="6"/>
        <v>2100000</v>
      </c>
      <c r="AH19" s="51">
        <f t="shared" si="6"/>
        <v>2175000</v>
      </c>
      <c r="AI19" s="51">
        <f t="shared" si="6"/>
        <v>2250000</v>
      </c>
      <c r="AJ19" s="51">
        <f t="shared" si="6"/>
        <v>2325000</v>
      </c>
      <c r="AK19" s="51">
        <f t="shared" si="6"/>
        <v>2400000</v>
      </c>
      <c r="AL19" s="51">
        <f t="shared" si="6"/>
        <v>2475000</v>
      </c>
      <c r="AM19" s="51">
        <f t="shared" si="6"/>
        <v>2550000</v>
      </c>
      <c r="AN19" s="51">
        <f t="shared" si="6"/>
        <v>2625000</v>
      </c>
      <c r="AO19" s="51">
        <f t="shared" si="6"/>
        <v>2700000</v>
      </c>
      <c r="AP19" s="51">
        <f t="shared" si="6"/>
        <v>2775000</v>
      </c>
      <c r="AQ19" s="51">
        <f t="shared" si="6"/>
        <v>2850000</v>
      </c>
      <c r="AR19" s="51">
        <f t="shared" si="6"/>
        <v>2925000</v>
      </c>
      <c r="AS19" s="51">
        <f t="shared" si="6"/>
        <v>3000000</v>
      </c>
      <c r="AT19" s="51">
        <f t="shared" si="6"/>
        <v>3075000</v>
      </c>
      <c r="AU19" s="51">
        <f t="shared" si="6"/>
        <v>3150000</v>
      </c>
      <c r="AV19" s="51">
        <f t="shared" si="6"/>
        <v>3225000</v>
      </c>
      <c r="AW19" s="51">
        <f t="shared" si="6"/>
        <v>3300000</v>
      </c>
      <c r="AX19" s="51">
        <f t="shared" si="6"/>
        <v>3375000</v>
      </c>
      <c r="AY19" s="51">
        <f t="shared" si="6"/>
        <v>3450000</v>
      </c>
      <c r="AZ19" s="51">
        <f t="shared" si="6"/>
        <v>3525000</v>
      </c>
      <c r="BA19" s="51">
        <f t="shared" si="6"/>
        <v>3600000</v>
      </c>
      <c r="BB19" s="51">
        <f t="shared" si="6"/>
        <v>3675000</v>
      </c>
      <c r="BC19" s="51">
        <f t="shared" si="6"/>
        <v>3750000</v>
      </c>
      <c r="BD19" s="51">
        <f t="shared" si="6"/>
        <v>3825000</v>
      </c>
      <c r="BE19" s="51">
        <f t="shared" si="6"/>
        <v>3900000</v>
      </c>
      <c r="BF19" s="51">
        <f t="shared" si="6"/>
        <v>3975000</v>
      </c>
      <c r="BG19" s="51">
        <f t="shared" si="6"/>
        <v>4050000</v>
      </c>
      <c r="BH19" s="51">
        <f t="shared" si="6"/>
        <v>4125000</v>
      </c>
      <c r="BI19" s="51">
        <f t="shared" si="6"/>
        <v>4200000</v>
      </c>
      <c r="BJ19" s="51">
        <f t="shared" si="6"/>
        <v>4275000</v>
      </c>
      <c r="BK19" s="51">
        <f t="shared" si="6"/>
        <v>4350000</v>
      </c>
      <c r="BL19" s="51">
        <f t="shared" si="6"/>
        <v>4425000</v>
      </c>
      <c r="BM19" s="51">
        <f t="shared" si="6"/>
        <v>4500000</v>
      </c>
    </row>
    <row r="20" spans="1:65" ht="27.75" customHeight="1" x14ac:dyDescent="0.2">
      <c r="B20" s="52" t="s">
        <v>129</v>
      </c>
      <c r="C20" s="52"/>
      <c r="D20" s="52"/>
      <c r="E20" s="51">
        <f>E17-E19</f>
        <v>18000000</v>
      </c>
      <c r="F20" s="51">
        <f t="shared" ref="F20:BM20" si="7">F17-F19</f>
        <v>17925000</v>
      </c>
      <c r="G20" s="51">
        <f t="shared" si="7"/>
        <v>17850000</v>
      </c>
      <c r="H20" s="51">
        <f t="shared" si="7"/>
        <v>17775000</v>
      </c>
      <c r="I20" s="51">
        <f t="shared" si="7"/>
        <v>17700000</v>
      </c>
      <c r="J20" s="51">
        <f t="shared" si="7"/>
        <v>17625000</v>
      </c>
      <c r="K20" s="51">
        <f t="shared" si="7"/>
        <v>17550000</v>
      </c>
      <c r="L20" s="51">
        <f t="shared" si="7"/>
        <v>17475000</v>
      </c>
      <c r="M20" s="51">
        <f t="shared" si="7"/>
        <v>17400000</v>
      </c>
      <c r="N20" s="51">
        <f t="shared" si="7"/>
        <v>17325000</v>
      </c>
      <c r="O20" s="51">
        <f t="shared" si="7"/>
        <v>17250000</v>
      </c>
      <c r="P20" s="51">
        <f t="shared" si="7"/>
        <v>17175000</v>
      </c>
      <c r="Q20" s="51">
        <f t="shared" si="7"/>
        <v>17100000</v>
      </c>
      <c r="R20" s="51">
        <f t="shared" si="7"/>
        <v>17025000</v>
      </c>
      <c r="S20" s="51">
        <f t="shared" si="7"/>
        <v>16950000</v>
      </c>
      <c r="T20" s="51">
        <f t="shared" si="7"/>
        <v>16875000</v>
      </c>
      <c r="U20" s="51">
        <f t="shared" si="7"/>
        <v>16800000</v>
      </c>
      <c r="V20" s="51">
        <f t="shared" si="7"/>
        <v>16725000</v>
      </c>
      <c r="W20" s="51">
        <f t="shared" si="7"/>
        <v>16650000</v>
      </c>
      <c r="X20" s="51">
        <f t="shared" si="7"/>
        <v>16575000</v>
      </c>
      <c r="Y20" s="51">
        <f t="shared" si="7"/>
        <v>16500000</v>
      </c>
      <c r="Z20" s="51">
        <f t="shared" si="7"/>
        <v>16425000</v>
      </c>
      <c r="AA20" s="51">
        <f t="shared" si="7"/>
        <v>16350000</v>
      </c>
      <c r="AB20" s="51">
        <f t="shared" si="7"/>
        <v>16275000</v>
      </c>
      <c r="AC20" s="51">
        <f t="shared" si="7"/>
        <v>16200000</v>
      </c>
      <c r="AD20" s="51">
        <f t="shared" si="7"/>
        <v>16125000</v>
      </c>
      <c r="AE20" s="51">
        <f t="shared" si="7"/>
        <v>16050000</v>
      </c>
      <c r="AF20" s="51">
        <f t="shared" si="7"/>
        <v>15975000</v>
      </c>
      <c r="AG20" s="51">
        <f t="shared" si="7"/>
        <v>15900000</v>
      </c>
      <c r="AH20" s="51">
        <f t="shared" si="7"/>
        <v>15825000</v>
      </c>
      <c r="AI20" s="51">
        <f t="shared" si="7"/>
        <v>15750000</v>
      </c>
      <c r="AJ20" s="51">
        <f t="shared" si="7"/>
        <v>15675000</v>
      </c>
      <c r="AK20" s="51">
        <f t="shared" si="7"/>
        <v>15600000</v>
      </c>
      <c r="AL20" s="51">
        <f t="shared" si="7"/>
        <v>15525000</v>
      </c>
      <c r="AM20" s="51">
        <f t="shared" si="7"/>
        <v>15450000</v>
      </c>
      <c r="AN20" s="51">
        <f t="shared" si="7"/>
        <v>15375000</v>
      </c>
      <c r="AO20" s="51">
        <f t="shared" si="7"/>
        <v>15300000</v>
      </c>
      <c r="AP20" s="51">
        <f t="shared" si="7"/>
        <v>15225000</v>
      </c>
      <c r="AQ20" s="51">
        <f t="shared" si="7"/>
        <v>15150000</v>
      </c>
      <c r="AR20" s="51">
        <f t="shared" si="7"/>
        <v>15075000</v>
      </c>
      <c r="AS20" s="51">
        <f t="shared" si="7"/>
        <v>15000000</v>
      </c>
      <c r="AT20" s="51">
        <f t="shared" si="7"/>
        <v>14925000</v>
      </c>
      <c r="AU20" s="51">
        <f t="shared" si="7"/>
        <v>14850000</v>
      </c>
      <c r="AV20" s="51">
        <f t="shared" si="7"/>
        <v>14775000</v>
      </c>
      <c r="AW20" s="51">
        <f t="shared" si="7"/>
        <v>14700000</v>
      </c>
      <c r="AX20" s="51">
        <f t="shared" si="7"/>
        <v>14625000</v>
      </c>
      <c r="AY20" s="51">
        <f t="shared" si="7"/>
        <v>14550000</v>
      </c>
      <c r="AZ20" s="51">
        <f t="shared" si="7"/>
        <v>14475000</v>
      </c>
      <c r="BA20" s="51">
        <f t="shared" si="7"/>
        <v>14400000</v>
      </c>
      <c r="BB20" s="51">
        <f t="shared" si="7"/>
        <v>14325000</v>
      </c>
      <c r="BC20" s="51">
        <f t="shared" si="7"/>
        <v>14250000</v>
      </c>
      <c r="BD20" s="51">
        <f t="shared" si="7"/>
        <v>14175000</v>
      </c>
      <c r="BE20" s="51">
        <f t="shared" si="7"/>
        <v>14100000</v>
      </c>
      <c r="BF20" s="51">
        <f t="shared" si="7"/>
        <v>14025000</v>
      </c>
      <c r="BG20" s="51">
        <f t="shared" si="7"/>
        <v>13950000</v>
      </c>
      <c r="BH20" s="51">
        <f t="shared" si="7"/>
        <v>13875000</v>
      </c>
      <c r="BI20" s="51">
        <f t="shared" si="7"/>
        <v>13800000</v>
      </c>
      <c r="BJ20" s="51">
        <f t="shared" si="7"/>
        <v>13725000</v>
      </c>
      <c r="BK20" s="51">
        <f t="shared" si="7"/>
        <v>13650000</v>
      </c>
      <c r="BL20" s="51">
        <f t="shared" si="7"/>
        <v>13575000</v>
      </c>
      <c r="BM20" s="51">
        <f t="shared" si="7"/>
        <v>13500000</v>
      </c>
    </row>
    <row r="21" spans="1:65" x14ac:dyDescent="0.2"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</row>
    <row r="22" spans="1:65" ht="16" x14ac:dyDescent="0.2">
      <c r="B22" s="73" t="str">
        <f>B4</f>
        <v>Equipos de cómputo</v>
      </c>
      <c r="C22" s="50">
        <v>60</v>
      </c>
      <c r="D22" s="47" t="s">
        <v>124</v>
      </c>
      <c r="E22" s="51">
        <f>$D$4</f>
        <v>12160000</v>
      </c>
      <c r="F22" s="51">
        <f t="shared" ref="F22:BM22" si="8">$D$4</f>
        <v>12160000</v>
      </c>
      <c r="G22" s="51">
        <f t="shared" si="8"/>
        <v>12160000</v>
      </c>
      <c r="H22" s="51">
        <f t="shared" si="8"/>
        <v>12160000</v>
      </c>
      <c r="I22" s="51">
        <f t="shared" si="8"/>
        <v>12160000</v>
      </c>
      <c r="J22" s="51">
        <f t="shared" si="8"/>
        <v>12160000</v>
      </c>
      <c r="K22" s="51">
        <f t="shared" si="8"/>
        <v>12160000</v>
      </c>
      <c r="L22" s="51">
        <f t="shared" si="8"/>
        <v>12160000</v>
      </c>
      <c r="M22" s="51">
        <f t="shared" si="8"/>
        <v>12160000</v>
      </c>
      <c r="N22" s="51">
        <f t="shared" si="8"/>
        <v>12160000</v>
      </c>
      <c r="O22" s="51">
        <f t="shared" si="8"/>
        <v>12160000</v>
      </c>
      <c r="P22" s="51">
        <f t="shared" si="8"/>
        <v>12160000</v>
      </c>
      <c r="Q22" s="51">
        <f t="shared" si="8"/>
        <v>12160000</v>
      </c>
      <c r="R22" s="51">
        <f t="shared" si="8"/>
        <v>12160000</v>
      </c>
      <c r="S22" s="51">
        <f t="shared" si="8"/>
        <v>12160000</v>
      </c>
      <c r="T22" s="51">
        <f t="shared" si="8"/>
        <v>12160000</v>
      </c>
      <c r="U22" s="51">
        <f t="shared" si="8"/>
        <v>12160000</v>
      </c>
      <c r="V22" s="51">
        <f t="shared" si="8"/>
        <v>12160000</v>
      </c>
      <c r="W22" s="51">
        <f t="shared" si="8"/>
        <v>12160000</v>
      </c>
      <c r="X22" s="51">
        <f t="shared" si="8"/>
        <v>12160000</v>
      </c>
      <c r="Y22" s="51">
        <f t="shared" si="8"/>
        <v>12160000</v>
      </c>
      <c r="Z22" s="51">
        <f t="shared" si="8"/>
        <v>12160000</v>
      </c>
      <c r="AA22" s="51">
        <f t="shared" si="8"/>
        <v>12160000</v>
      </c>
      <c r="AB22" s="51">
        <f t="shared" si="8"/>
        <v>12160000</v>
      </c>
      <c r="AC22" s="51">
        <f t="shared" si="8"/>
        <v>12160000</v>
      </c>
      <c r="AD22" s="51">
        <f t="shared" si="8"/>
        <v>12160000</v>
      </c>
      <c r="AE22" s="51">
        <f t="shared" si="8"/>
        <v>12160000</v>
      </c>
      <c r="AF22" s="51">
        <f t="shared" si="8"/>
        <v>12160000</v>
      </c>
      <c r="AG22" s="51">
        <f t="shared" si="8"/>
        <v>12160000</v>
      </c>
      <c r="AH22" s="51">
        <f t="shared" si="8"/>
        <v>12160000</v>
      </c>
      <c r="AI22" s="51">
        <f t="shared" si="8"/>
        <v>12160000</v>
      </c>
      <c r="AJ22" s="51">
        <f t="shared" si="8"/>
        <v>12160000</v>
      </c>
      <c r="AK22" s="51">
        <f t="shared" si="8"/>
        <v>12160000</v>
      </c>
      <c r="AL22" s="51">
        <f t="shared" si="8"/>
        <v>12160000</v>
      </c>
      <c r="AM22" s="51">
        <f t="shared" si="8"/>
        <v>12160000</v>
      </c>
      <c r="AN22" s="51">
        <f t="shared" si="8"/>
        <v>12160000</v>
      </c>
      <c r="AO22" s="51">
        <f t="shared" si="8"/>
        <v>12160000</v>
      </c>
      <c r="AP22" s="51">
        <f t="shared" si="8"/>
        <v>12160000</v>
      </c>
      <c r="AQ22" s="51">
        <f t="shared" si="8"/>
        <v>12160000</v>
      </c>
      <c r="AR22" s="51">
        <f t="shared" si="8"/>
        <v>12160000</v>
      </c>
      <c r="AS22" s="51">
        <f t="shared" si="8"/>
        <v>12160000</v>
      </c>
      <c r="AT22" s="51">
        <f t="shared" si="8"/>
        <v>12160000</v>
      </c>
      <c r="AU22" s="51">
        <f t="shared" si="8"/>
        <v>12160000</v>
      </c>
      <c r="AV22" s="51">
        <f t="shared" si="8"/>
        <v>12160000</v>
      </c>
      <c r="AW22" s="51">
        <f t="shared" si="8"/>
        <v>12160000</v>
      </c>
      <c r="AX22" s="51">
        <f t="shared" si="8"/>
        <v>12160000</v>
      </c>
      <c r="AY22" s="51">
        <f t="shared" si="8"/>
        <v>12160000</v>
      </c>
      <c r="AZ22" s="51">
        <f t="shared" si="8"/>
        <v>12160000</v>
      </c>
      <c r="BA22" s="51">
        <f t="shared" si="8"/>
        <v>12160000</v>
      </c>
      <c r="BB22" s="51">
        <f t="shared" si="8"/>
        <v>12160000</v>
      </c>
      <c r="BC22" s="51">
        <f t="shared" si="8"/>
        <v>12160000</v>
      </c>
      <c r="BD22" s="51">
        <f t="shared" si="8"/>
        <v>12160000</v>
      </c>
      <c r="BE22" s="51">
        <f t="shared" si="8"/>
        <v>12160000</v>
      </c>
      <c r="BF22" s="51">
        <f t="shared" si="8"/>
        <v>12160000</v>
      </c>
      <c r="BG22" s="51">
        <f t="shared" si="8"/>
        <v>12160000</v>
      </c>
      <c r="BH22" s="51">
        <f t="shared" si="8"/>
        <v>12160000</v>
      </c>
      <c r="BI22" s="51">
        <f t="shared" si="8"/>
        <v>12160000</v>
      </c>
      <c r="BJ22" s="51">
        <f t="shared" si="8"/>
        <v>12160000</v>
      </c>
      <c r="BK22" s="51">
        <f t="shared" si="8"/>
        <v>12160000</v>
      </c>
      <c r="BL22" s="51">
        <f t="shared" si="8"/>
        <v>12160000</v>
      </c>
      <c r="BM22" s="51">
        <f t="shared" si="8"/>
        <v>12160000</v>
      </c>
    </row>
    <row r="23" spans="1:65" ht="27.75" customHeight="1" x14ac:dyDescent="0.2">
      <c r="B23" s="52" t="str">
        <f>B18</f>
        <v>Depreciación del periodo</v>
      </c>
      <c r="C23" s="50">
        <f>C22/12</f>
        <v>5</v>
      </c>
      <c r="D23" s="47" t="s">
        <v>126</v>
      </c>
      <c r="E23" s="51"/>
      <c r="F23" s="51">
        <f>E22/$C$22</f>
        <v>202666.66666666666</v>
      </c>
      <c r="G23" s="51">
        <f t="shared" ref="G23:BM23" si="9">F22/$C$22</f>
        <v>202666.66666666666</v>
      </c>
      <c r="H23" s="51">
        <f t="shared" si="9"/>
        <v>202666.66666666666</v>
      </c>
      <c r="I23" s="51">
        <f t="shared" si="9"/>
        <v>202666.66666666666</v>
      </c>
      <c r="J23" s="51">
        <f t="shared" si="9"/>
        <v>202666.66666666666</v>
      </c>
      <c r="K23" s="51">
        <f t="shared" si="9"/>
        <v>202666.66666666666</v>
      </c>
      <c r="L23" s="51">
        <f t="shared" si="9"/>
        <v>202666.66666666666</v>
      </c>
      <c r="M23" s="51">
        <f t="shared" si="9"/>
        <v>202666.66666666666</v>
      </c>
      <c r="N23" s="51">
        <f t="shared" si="9"/>
        <v>202666.66666666666</v>
      </c>
      <c r="O23" s="51">
        <f t="shared" si="9"/>
        <v>202666.66666666666</v>
      </c>
      <c r="P23" s="51">
        <f t="shared" si="9"/>
        <v>202666.66666666666</v>
      </c>
      <c r="Q23" s="51">
        <f t="shared" si="9"/>
        <v>202666.66666666666</v>
      </c>
      <c r="R23" s="51">
        <f t="shared" si="9"/>
        <v>202666.66666666666</v>
      </c>
      <c r="S23" s="51">
        <f t="shared" si="9"/>
        <v>202666.66666666666</v>
      </c>
      <c r="T23" s="51">
        <f t="shared" si="9"/>
        <v>202666.66666666666</v>
      </c>
      <c r="U23" s="51">
        <f t="shared" si="9"/>
        <v>202666.66666666666</v>
      </c>
      <c r="V23" s="51">
        <f t="shared" si="9"/>
        <v>202666.66666666666</v>
      </c>
      <c r="W23" s="51">
        <f t="shared" si="9"/>
        <v>202666.66666666666</v>
      </c>
      <c r="X23" s="51">
        <f t="shared" si="9"/>
        <v>202666.66666666666</v>
      </c>
      <c r="Y23" s="51">
        <f t="shared" si="9"/>
        <v>202666.66666666666</v>
      </c>
      <c r="Z23" s="51">
        <f t="shared" si="9"/>
        <v>202666.66666666666</v>
      </c>
      <c r="AA23" s="51">
        <f t="shared" si="9"/>
        <v>202666.66666666666</v>
      </c>
      <c r="AB23" s="51">
        <f t="shared" si="9"/>
        <v>202666.66666666666</v>
      </c>
      <c r="AC23" s="51">
        <f t="shared" si="9"/>
        <v>202666.66666666666</v>
      </c>
      <c r="AD23" s="51">
        <f t="shared" si="9"/>
        <v>202666.66666666666</v>
      </c>
      <c r="AE23" s="51">
        <f t="shared" si="9"/>
        <v>202666.66666666666</v>
      </c>
      <c r="AF23" s="51">
        <f t="shared" si="9"/>
        <v>202666.66666666666</v>
      </c>
      <c r="AG23" s="51">
        <f t="shared" si="9"/>
        <v>202666.66666666666</v>
      </c>
      <c r="AH23" s="51">
        <f t="shared" si="9"/>
        <v>202666.66666666666</v>
      </c>
      <c r="AI23" s="51">
        <f t="shared" si="9"/>
        <v>202666.66666666666</v>
      </c>
      <c r="AJ23" s="51">
        <f t="shared" si="9"/>
        <v>202666.66666666666</v>
      </c>
      <c r="AK23" s="51">
        <f t="shared" si="9"/>
        <v>202666.66666666666</v>
      </c>
      <c r="AL23" s="51">
        <f t="shared" si="9"/>
        <v>202666.66666666666</v>
      </c>
      <c r="AM23" s="51">
        <f t="shared" si="9"/>
        <v>202666.66666666666</v>
      </c>
      <c r="AN23" s="51">
        <f t="shared" si="9"/>
        <v>202666.66666666666</v>
      </c>
      <c r="AO23" s="51">
        <f t="shared" si="9"/>
        <v>202666.66666666666</v>
      </c>
      <c r="AP23" s="51">
        <f t="shared" si="9"/>
        <v>202666.66666666666</v>
      </c>
      <c r="AQ23" s="51">
        <f t="shared" si="9"/>
        <v>202666.66666666666</v>
      </c>
      <c r="AR23" s="51">
        <f t="shared" si="9"/>
        <v>202666.66666666666</v>
      </c>
      <c r="AS23" s="51">
        <f t="shared" si="9"/>
        <v>202666.66666666666</v>
      </c>
      <c r="AT23" s="51">
        <f t="shared" si="9"/>
        <v>202666.66666666666</v>
      </c>
      <c r="AU23" s="51">
        <f t="shared" si="9"/>
        <v>202666.66666666666</v>
      </c>
      <c r="AV23" s="51">
        <f t="shared" si="9"/>
        <v>202666.66666666666</v>
      </c>
      <c r="AW23" s="51">
        <f t="shared" si="9"/>
        <v>202666.66666666666</v>
      </c>
      <c r="AX23" s="51">
        <f t="shared" si="9"/>
        <v>202666.66666666666</v>
      </c>
      <c r="AY23" s="51">
        <f t="shared" si="9"/>
        <v>202666.66666666666</v>
      </c>
      <c r="AZ23" s="51">
        <f t="shared" si="9"/>
        <v>202666.66666666666</v>
      </c>
      <c r="BA23" s="51">
        <f t="shared" si="9"/>
        <v>202666.66666666666</v>
      </c>
      <c r="BB23" s="51">
        <f t="shared" si="9"/>
        <v>202666.66666666666</v>
      </c>
      <c r="BC23" s="51">
        <f t="shared" si="9"/>
        <v>202666.66666666666</v>
      </c>
      <c r="BD23" s="51">
        <f t="shared" si="9"/>
        <v>202666.66666666666</v>
      </c>
      <c r="BE23" s="51">
        <f t="shared" si="9"/>
        <v>202666.66666666666</v>
      </c>
      <c r="BF23" s="51">
        <f t="shared" si="9"/>
        <v>202666.66666666666</v>
      </c>
      <c r="BG23" s="51">
        <f t="shared" si="9"/>
        <v>202666.66666666666</v>
      </c>
      <c r="BH23" s="51">
        <f t="shared" si="9"/>
        <v>202666.66666666666</v>
      </c>
      <c r="BI23" s="51">
        <f t="shared" si="9"/>
        <v>202666.66666666666</v>
      </c>
      <c r="BJ23" s="51">
        <f t="shared" si="9"/>
        <v>202666.66666666666</v>
      </c>
      <c r="BK23" s="51">
        <f t="shared" si="9"/>
        <v>202666.66666666666</v>
      </c>
      <c r="BL23" s="51">
        <f t="shared" si="9"/>
        <v>202666.66666666666</v>
      </c>
      <c r="BM23" s="51">
        <f t="shared" si="9"/>
        <v>202666.66666666666</v>
      </c>
    </row>
    <row r="24" spans="1:65" ht="27.75" customHeight="1" x14ac:dyDescent="0.2">
      <c r="B24" s="52" t="str">
        <f>B19</f>
        <v>Depreciación acumulada</v>
      </c>
      <c r="C24" s="52"/>
      <c r="D24" s="52"/>
      <c r="E24" s="51"/>
      <c r="F24" s="51">
        <f>E24+F23</f>
        <v>202666.66666666666</v>
      </c>
      <c r="G24" s="51">
        <f t="shared" ref="G24:BM24" si="10">F24+G23</f>
        <v>405333.33333333331</v>
      </c>
      <c r="H24" s="51">
        <f t="shared" si="10"/>
        <v>608000</v>
      </c>
      <c r="I24" s="51">
        <f t="shared" si="10"/>
        <v>810666.66666666663</v>
      </c>
      <c r="J24" s="51">
        <f t="shared" si="10"/>
        <v>1013333.3333333333</v>
      </c>
      <c r="K24" s="51">
        <f t="shared" si="10"/>
        <v>1216000</v>
      </c>
      <c r="L24" s="51">
        <f t="shared" si="10"/>
        <v>1418666.6666666667</v>
      </c>
      <c r="M24" s="51">
        <f t="shared" si="10"/>
        <v>1621333.3333333335</v>
      </c>
      <c r="N24" s="51">
        <f t="shared" si="10"/>
        <v>1824000.0000000002</v>
      </c>
      <c r="O24" s="51">
        <f t="shared" si="10"/>
        <v>2026666.666666667</v>
      </c>
      <c r="P24" s="51">
        <f t="shared" si="10"/>
        <v>2229333.3333333335</v>
      </c>
      <c r="Q24" s="51">
        <f t="shared" si="10"/>
        <v>2432000</v>
      </c>
      <c r="R24" s="51">
        <f t="shared" si="10"/>
        <v>2634666.6666666665</v>
      </c>
      <c r="S24" s="51">
        <f t="shared" si="10"/>
        <v>2837333.333333333</v>
      </c>
      <c r="T24" s="51">
        <f t="shared" si="10"/>
        <v>3039999.9999999995</v>
      </c>
      <c r="U24" s="51">
        <f t="shared" si="10"/>
        <v>3242666.666666666</v>
      </c>
      <c r="V24" s="51">
        <f t="shared" si="10"/>
        <v>3445333.3333333326</v>
      </c>
      <c r="W24" s="51">
        <f t="shared" si="10"/>
        <v>3647999.9999999991</v>
      </c>
      <c r="X24" s="51">
        <f t="shared" si="10"/>
        <v>3850666.6666666656</v>
      </c>
      <c r="Y24" s="51">
        <f t="shared" si="10"/>
        <v>4053333.3333333321</v>
      </c>
      <c r="Z24" s="51">
        <f t="shared" si="10"/>
        <v>4255999.9999999991</v>
      </c>
      <c r="AA24" s="51">
        <f t="shared" si="10"/>
        <v>4458666.666666666</v>
      </c>
      <c r="AB24" s="51">
        <f t="shared" si="10"/>
        <v>4661333.333333333</v>
      </c>
      <c r="AC24" s="51">
        <f t="shared" si="10"/>
        <v>4864000</v>
      </c>
      <c r="AD24" s="51">
        <f t="shared" si="10"/>
        <v>5066666.666666667</v>
      </c>
      <c r="AE24" s="51">
        <f t="shared" si="10"/>
        <v>5269333.333333334</v>
      </c>
      <c r="AF24" s="51">
        <f t="shared" si="10"/>
        <v>5472000.0000000009</v>
      </c>
      <c r="AG24" s="51">
        <f t="shared" si="10"/>
        <v>5674666.6666666679</v>
      </c>
      <c r="AH24" s="51">
        <f t="shared" si="10"/>
        <v>5877333.3333333349</v>
      </c>
      <c r="AI24" s="51">
        <f t="shared" si="10"/>
        <v>6080000.0000000019</v>
      </c>
      <c r="AJ24" s="51">
        <f t="shared" si="10"/>
        <v>6282666.6666666688</v>
      </c>
      <c r="AK24" s="51">
        <f t="shared" si="10"/>
        <v>6485333.3333333358</v>
      </c>
      <c r="AL24" s="51">
        <f t="shared" si="10"/>
        <v>6688000.0000000028</v>
      </c>
      <c r="AM24" s="51">
        <f t="shared" si="10"/>
        <v>6890666.6666666698</v>
      </c>
      <c r="AN24" s="51">
        <f t="shared" si="10"/>
        <v>7093333.3333333367</v>
      </c>
      <c r="AO24" s="51">
        <f t="shared" si="10"/>
        <v>7296000.0000000037</v>
      </c>
      <c r="AP24" s="51">
        <f t="shared" si="10"/>
        <v>7498666.6666666707</v>
      </c>
      <c r="AQ24" s="51">
        <f t="shared" si="10"/>
        <v>7701333.3333333377</v>
      </c>
      <c r="AR24" s="51">
        <f t="shared" si="10"/>
        <v>7904000.0000000047</v>
      </c>
      <c r="AS24" s="51">
        <f t="shared" si="10"/>
        <v>8106666.6666666716</v>
      </c>
      <c r="AT24" s="51">
        <f t="shared" si="10"/>
        <v>8309333.3333333386</v>
      </c>
      <c r="AU24" s="51">
        <f t="shared" si="10"/>
        <v>8512000.0000000056</v>
      </c>
      <c r="AV24" s="51">
        <f t="shared" si="10"/>
        <v>8714666.6666666716</v>
      </c>
      <c r="AW24" s="51">
        <f t="shared" si="10"/>
        <v>8917333.3333333377</v>
      </c>
      <c r="AX24" s="51">
        <f t="shared" si="10"/>
        <v>9120000.0000000037</v>
      </c>
      <c r="AY24" s="51">
        <f t="shared" si="10"/>
        <v>9322666.6666666698</v>
      </c>
      <c r="AZ24" s="51">
        <f t="shared" si="10"/>
        <v>9525333.3333333358</v>
      </c>
      <c r="BA24" s="51">
        <f t="shared" si="10"/>
        <v>9728000.0000000019</v>
      </c>
      <c r="BB24" s="51">
        <f t="shared" si="10"/>
        <v>9930666.6666666679</v>
      </c>
      <c r="BC24" s="51">
        <f t="shared" si="10"/>
        <v>10133333.333333334</v>
      </c>
      <c r="BD24" s="51">
        <f t="shared" si="10"/>
        <v>10336000</v>
      </c>
      <c r="BE24" s="51">
        <f t="shared" si="10"/>
        <v>10538666.666666666</v>
      </c>
      <c r="BF24" s="51">
        <f t="shared" si="10"/>
        <v>10741333.333333332</v>
      </c>
      <c r="BG24" s="51">
        <f t="shared" si="10"/>
        <v>10943999.999999998</v>
      </c>
      <c r="BH24" s="51">
        <f t="shared" si="10"/>
        <v>11146666.666666664</v>
      </c>
      <c r="BI24" s="51">
        <f t="shared" si="10"/>
        <v>11349333.33333333</v>
      </c>
      <c r="BJ24" s="51">
        <f t="shared" si="10"/>
        <v>11551999.999999996</v>
      </c>
      <c r="BK24" s="51">
        <f t="shared" si="10"/>
        <v>11754666.666666662</v>
      </c>
      <c r="BL24" s="51">
        <f t="shared" si="10"/>
        <v>11957333.333333328</v>
      </c>
      <c r="BM24" s="51">
        <f t="shared" si="10"/>
        <v>12159999.999999994</v>
      </c>
    </row>
    <row r="25" spans="1:65" ht="27.75" customHeight="1" x14ac:dyDescent="0.2">
      <c r="B25" s="52" t="s">
        <v>130</v>
      </c>
      <c r="C25" s="52"/>
      <c r="D25" s="52"/>
      <c r="E25" s="51">
        <f>E22-E24</f>
        <v>12160000</v>
      </c>
      <c r="F25" s="51">
        <f t="shared" ref="F25:BM25" si="11">F22-F24</f>
        <v>11957333.333333334</v>
      </c>
      <c r="G25" s="51">
        <f t="shared" si="11"/>
        <v>11754666.666666666</v>
      </c>
      <c r="H25" s="51">
        <f t="shared" si="11"/>
        <v>11552000</v>
      </c>
      <c r="I25" s="51">
        <f t="shared" si="11"/>
        <v>11349333.333333334</v>
      </c>
      <c r="J25" s="51">
        <f t="shared" si="11"/>
        <v>11146666.666666666</v>
      </c>
      <c r="K25" s="51">
        <f t="shared" si="11"/>
        <v>10944000</v>
      </c>
      <c r="L25" s="51">
        <f t="shared" si="11"/>
        <v>10741333.333333334</v>
      </c>
      <c r="M25" s="51">
        <f t="shared" si="11"/>
        <v>10538666.666666666</v>
      </c>
      <c r="N25" s="51">
        <f t="shared" si="11"/>
        <v>10336000</v>
      </c>
      <c r="O25" s="51">
        <f t="shared" si="11"/>
        <v>10133333.333333332</v>
      </c>
      <c r="P25" s="51">
        <f t="shared" si="11"/>
        <v>9930666.666666666</v>
      </c>
      <c r="Q25" s="51">
        <f t="shared" si="11"/>
        <v>9728000</v>
      </c>
      <c r="R25" s="51">
        <f t="shared" si="11"/>
        <v>9525333.333333334</v>
      </c>
      <c r="S25" s="51">
        <f t="shared" si="11"/>
        <v>9322666.6666666679</v>
      </c>
      <c r="T25" s="51">
        <f t="shared" si="11"/>
        <v>9120000</v>
      </c>
      <c r="U25" s="51">
        <f t="shared" si="11"/>
        <v>8917333.333333334</v>
      </c>
      <c r="V25" s="51">
        <f t="shared" si="11"/>
        <v>8714666.6666666679</v>
      </c>
      <c r="W25" s="51">
        <f t="shared" si="11"/>
        <v>8512000</v>
      </c>
      <c r="X25" s="51">
        <f t="shared" si="11"/>
        <v>8309333.333333334</v>
      </c>
      <c r="Y25" s="51">
        <f t="shared" si="11"/>
        <v>8106666.6666666679</v>
      </c>
      <c r="Z25" s="51">
        <f t="shared" si="11"/>
        <v>7904000.0000000009</v>
      </c>
      <c r="AA25" s="51">
        <f t="shared" si="11"/>
        <v>7701333.333333334</v>
      </c>
      <c r="AB25" s="51">
        <f t="shared" si="11"/>
        <v>7498666.666666667</v>
      </c>
      <c r="AC25" s="51">
        <f t="shared" si="11"/>
        <v>7296000</v>
      </c>
      <c r="AD25" s="51">
        <f t="shared" si="11"/>
        <v>7093333.333333333</v>
      </c>
      <c r="AE25" s="51">
        <f t="shared" si="11"/>
        <v>6890666.666666666</v>
      </c>
      <c r="AF25" s="51">
        <f t="shared" si="11"/>
        <v>6687999.9999999991</v>
      </c>
      <c r="AG25" s="51">
        <f t="shared" si="11"/>
        <v>6485333.3333333321</v>
      </c>
      <c r="AH25" s="51">
        <f t="shared" si="11"/>
        <v>6282666.6666666651</v>
      </c>
      <c r="AI25" s="51">
        <f t="shared" si="11"/>
        <v>6079999.9999999981</v>
      </c>
      <c r="AJ25" s="51">
        <f t="shared" si="11"/>
        <v>5877333.3333333312</v>
      </c>
      <c r="AK25" s="51">
        <f t="shared" si="11"/>
        <v>5674666.6666666642</v>
      </c>
      <c r="AL25" s="51">
        <f t="shared" si="11"/>
        <v>5471999.9999999972</v>
      </c>
      <c r="AM25" s="51">
        <f t="shared" si="11"/>
        <v>5269333.3333333302</v>
      </c>
      <c r="AN25" s="51">
        <f t="shared" si="11"/>
        <v>5066666.6666666633</v>
      </c>
      <c r="AO25" s="51">
        <f t="shared" si="11"/>
        <v>4863999.9999999963</v>
      </c>
      <c r="AP25" s="51">
        <f t="shared" si="11"/>
        <v>4661333.3333333293</v>
      </c>
      <c r="AQ25" s="51">
        <f t="shared" si="11"/>
        <v>4458666.6666666623</v>
      </c>
      <c r="AR25" s="51">
        <f t="shared" si="11"/>
        <v>4255999.9999999953</v>
      </c>
      <c r="AS25" s="51">
        <f t="shared" si="11"/>
        <v>4053333.3333333284</v>
      </c>
      <c r="AT25" s="51">
        <f t="shared" si="11"/>
        <v>3850666.6666666614</v>
      </c>
      <c r="AU25" s="51">
        <f t="shared" si="11"/>
        <v>3647999.9999999944</v>
      </c>
      <c r="AV25" s="51">
        <f t="shared" si="11"/>
        <v>3445333.3333333284</v>
      </c>
      <c r="AW25" s="51">
        <f t="shared" si="11"/>
        <v>3242666.6666666623</v>
      </c>
      <c r="AX25" s="51">
        <f t="shared" si="11"/>
        <v>3039999.9999999963</v>
      </c>
      <c r="AY25" s="51">
        <f t="shared" si="11"/>
        <v>2837333.3333333302</v>
      </c>
      <c r="AZ25" s="51">
        <f t="shared" si="11"/>
        <v>2634666.6666666642</v>
      </c>
      <c r="BA25" s="51">
        <f t="shared" si="11"/>
        <v>2431999.9999999981</v>
      </c>
      <c r="BB25" s="51">
        <f t="shared" si="11"/>
        <v>2229333.3333333321</v>
      </c>
      <c r="BC25" s="51">
        <f t="shared" si="11"/>
        <v>2026666.666666666</v>
      </c>
      <c r="BD25" s="51">
        <f t="shared" si="11"/>
        <v>1824000</v>
      </c>
      <c r="BE25" s="51">
        <f t="shared" si="11"/>
        <v>1621333.333333334</v>
      </c>
      <c r="BF25" s="51">
        <f t="shared" si="11"/>
        <v>1418666.6666666679</v>
      </c>
      <c r="BG25" s="51">
        <f t="shared" si="11"/>
        <v>1216000.0000000019</v>
      </c>
      <c r="BH25" s="51">
        <f t="shared" si="11"/>
        <v>1013333.3333333358</v>
      </c>
      <c r="BI25" s="51">
        <f t="shared" si="11"/>
        <v>810666.66666666977</v>
      </c>
      <c r="BJ25" s="51">
        <f t="shared" si="11"/>
        <v>608000.00000000373</v>
      </c>
      <c r="BK25" s="51">
        <f t="shared" si="11"/>
        <v>405333.33333333768</v>
      </c>
      <c r="BL25" s="51">
        <f t="shared" si="11"/>
        <v>202666.66666667163</v>
      </c>
      <c r="BM25" s="51">
        <f t="shared" si="11"/>
        <v>0</v>
      </c>
    </row>
    <row r="26" spans="1:65" x14ac:dyDescent="0.2"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</row>
    <row r="27" spans="1:65" ht="16" x14ac:dyDescent="0.2">
      <c r="B27" s="73" t="str">
        <f>B5</f>
        <v>Muebles y enseres</v>
      </c>
      <c r="C27" s="50">
        <v>120</v>
      </c>
      <c r="D27" s="47" t="s">
        <v>124</v>
      </c>
      <c r="E27" s="51">
        <f>$D$5</f>
        <v>9570000</v>
      </c>
      <c r="F27" s="51">
        <f t="shared" ref="F27:BM27" si="12">$D$5</f>
        <v>9570000</v>
      </c>
      <c r="G27" s="51">
        <f t="shared" si="12"/>
        <v>9570000</v>
      </c>
      <c r="H27" s="51">
        <f t="shared" si="12"/>
        <v>9570000</v>
      </c>
      <c r="I27" s="51">
        <f t="shared" si="12"/>
        <v>9570000</v>
      </c>
      <c r="J27" s="51">
        <f t="shared" si="12"/>
        <v>9570000</v>
      </c>
      <c r="K27" s="51">
        <f t="shared" si="12"/>
        <v>9570000</v>
      </c>
      <c r="L27" s="51">
        <f t="shared" si="12"/>
        <v>9570000</v>
      </c>
      <c r="M27" s="51">
        <f t="shared" si="12"/>
        <v>9570000</v>
      </c>
      <c r="N27" s="51">
        <f t="shared" si="12"/>
        <v>9570000</v>
      </c>
      <c r="O27" s="51">
        <f t="shared" si="12"/>
        <v>9570000</v>
      </c>
      <c r="P27" s="51">
        <f t="shared" si="12"/>
        <v>9570000</v>
      </c>
      <c r="Q27" s="51">
        <f t="shared" si="12"/>
        <v>9570000</v>
      </c>
      <c r="R27" s="51">
        <f t="shared" si="12"/>
        <v>9570000</v>
      </c>
      <c r="S27" s="51">
        <f t="shared" si="12"/>
        <v>9570000</v>
      </c>
      <c r="T27" s="51">
        <f t="shared" si="12"/>
        <v>9570000</v>
      </c>
      <c r="U27" s="51">
        <f t="shared" si="12"/>
        <v>9570000</v>
      </c>
      <c r="V27" s="51">
        <f t="shared" si="12"/>
        <v>9570000</v>
      </c>
      <c r="W27" s="51">
        <f t="shared" si="12"/>
        <v>9570000</v>
      </c>
      <c r="X27" s="51">
        <f t="shared" si="12"/>
        <v>9570000</v>
      </c>
      <c r="Y27" s="51">
        <f t="shared" si="12"/>
        <v>9570000</v>
      </c>
      <c r="Z27" s="51">
        <f t="shared" si="12"/>
        <v>9570000</v>
      </c>
      <c r="AA27" s="51">
        <f t="shared" si="12"/>
        <v>9570000</v>
      </c>
      <c r="AB27" s="51">
        <f t="shared" si="12"/>
        <v>9570000</v>
      </c>
      <c r="AC27" s="51">
        <f t="shared" si="12"/>
        <v>9570000</v>
      </c>
      <c r="AD27" s="51">
        <f t="shared" si="12"/>
        <v>9570000</v>
      </c>
      <c r="AE27" s="51">
        <f t="shared" si="12"/>
        <v>9570000</v>
      </c>
      <c r="AF27" s="51">
        <f t="shared" si="12"/>
        <v>9570000</v>
      </c>
      <c r="AG27" s="51">
        <f t="shared" si="12"/>
        <v>9570000</v>
      </c>
      <c r="AH27" s="51">
        <f t="shared" si="12"/>
        <v>9570000</v>
      </c>
      <c r="AI27" s="51">
        <f t="shared" si="12"/>
        <v>9570000</v>
      </c>
      <c r="AJ27" s="51">
        <f t="shared" si="12"/>
        <v>9570000</v>
      </c>
      <c r="AK27" s="51">
        <f t="shared" si="12"/>
        <v>9570000</v>
      </c>
      <c r="AL27" s="51">
        <f t="shared" si="12"/>
        <v>9570000</v>
      </c>
      <c r="AM27" s="51">
        <f t="shared" si="12"/>
        <v>9570000</v>
      </c>
      <c r="AN27" s="51">
        <f t="shared" si="12"/>
        <v>9570000</v>
      </c>
      <c r="AO27" s="51">
        <f t="shared" si="12"/>
        <v>9570000</v>
      </c>
      <c r="AP27" s="51">
        <f t="shared" si="12"/>
        <v>9570000</v>
      </c>
      <c r="AQ27" s="51">
        <f t="shared" si="12"/>
        <v>9570000</v>
      </c>
      <c r="AR27" s="51">
        <f t="shared" si="12"/>
        <v>9570000</v>
      </c>
      <c r="AS27" s="51">
        <f t="shared" si="12"/>
        <v>9570000</v>
      </c>
      <c r="AT27" s="51">
        <f t="shared" si="12"/>
        <v>9570000</v>
      </c>
      <c r="AU27" s="51">
        <f t="shared" si="12"/>
        <v>9570000</v>
      </c>
      <c r="AV27" s="51">
        <f t="shared" si="12"/>
        <v>9570000</v>
      </c>
      <c r="AW27" s="51">
        <f t="shared" si="12"/>
        <v>9570000</v>
      </c>
      <c r="AX27" s="51">
        <f t="shared" si="12"/>
        <v>9570000</v>
      </c>
      <c r="AY27" s="51">
        <f t="shared" si="12"/>
        <v>9570000</v>
      </c>
      <c r="AZ27" s="51">
        <f t="shared" si="12"/>
        <v>9570000</v>
      </c>
      <c r="BA27" s="51">
        <f t="shared" si="12"/>
        <v>9570000</v>
      </c>
      <c r="BB27" s="51">
        <f t="shared" si="12"/>
        <v>9570000</v>
      </c>
      <c r="BC27" s="51">
        <f t="shared" si="12"/>
        <v>9570000</v>
      </c>
      <c r="BD27" s="51">
        <f t="shared" si="12"/>
        <v>9570000</v>
      </c>
      <c r="BE27" s="51">
        <f t="shared" si="12"/>
        <v>9570000</v>
      </c>
      <c r="BF27" s="51">
        <f t="shared" si="12"/>
        <v>9570000</v>
      </c>
      <c r="BG27" s="51">
        <f t="shared" si="12"/>
        <v>9570000</v>
      </c>
      <c r="BH27" s="51">
        <f t="shared" si="12"/>
        <v>9570000</v>
      </c>
      <c r="BI27" s="51">
        <f t="shared" si="12"/>
        <v>9570000</v>
      </c>
      <c r="BJ27" s="51">
        <f t="shared" si="12"/>
        <v>9570000</v>
      </c>
      <c r="BK27" s="51">
        <f t="shared" si="12"/>
        <v>9570000</v>
      </c>
      <c r="BL27" s="51">
        <f t="shared" si="12"/>
        <v>9570000</v>
      </c>
      <c r="BM27" s="51">
        <f t="shared" si="12"/>
        <v>9570000</v>
      </c>
    </row>
    <row r="28" spans="1:65" ht="28.5" customHeight="1" x14ac:dyDescent="0.2">
      <c r="B28" s="52" t="str">
        <f>B23</f>
        <v>Depreciación del periodo</v>
      </c>
      <c r="C28" s="50">
        <f>C27/12</f>
        <v>10</v>
      </c>
      <c r="D28" s="47" t="s">
        <v>126</v>
      </c>
      <c r="E28" s="51"/>
      <c r="F28" s="51">
        <f>E27/$C$27</f>
        <v>79750</v>
      </c>
      <c r="G28" s="51">
        <f>F27/$C$27</f>
        <v>79750</v>
      </c>
      <c r="H28" s="51">
        <f t="shared" ref="H28:BM28" si="13">G27/$C$27</f>
        <v>79750</v>
      </c>
      <c r="I28" s="51">
        <f t="shared" si="13"/>
        <v>79750</v>
      </c>
      <c r="J28" s="51">
        <f t="shared" si="13"/>
        <v>79750</v>
      </c>
      <c r="K28" s="51">
        <f t="shared" si="13"/>
        <v>79750</v>
      </c>
      <c r="L28" s="51">
        <f t="shared" si="13"/>
        <v>79750</v>
      </c>
      <c r="M28" s="51">
        <f t="shared" si="13"/>
        <v>79750</v>
      </c>
      <c r="N28" s="51">
        <f t="shared" si="13"/>
        <v>79750</v>
      </c>
      <c r="O28" s="51">
        <f t="shared" si="13"/>
        <v>79750</v>
      </c>
      <c r="P28" s="51">
        <f t="shared" si="13"/>
        <v>79750</v>
      </c>
      <c r="Q28" s="51">
        <f t="shared" si="13"/>
        <v>79750</v>
      </c>
      <c r="R28" s="51">
        <f t="shared" si="13"/>
        <v>79750</v>
      </c>
      <c r="S28" s="51">
        <f t="shared" si="13"/>
        <v>79750</v>
      </c>
      <c r="T28" s="51">
        <f t="shared" si="13"/>
        <v>79750</v>
      </c>
      <c r="U28" s="51">
        <f t="shared" si="13"/>
        <v>79750</v>
      </c>
      <c r="V28" s="51">
        <f t="shared" si="13"/>
        <v>79750</v>
      </c>
      <c r="W28" s="51">
        <f t="shared" si="13"/>
        <v>79750</v>
      </c>
      <c r="X28" s="51">
        <f t="shared" si="13"/>
        <v>79750</v>
      </c>
      <c r="Y28" s="51">
        <f t="shared" si="13"/>
        <v>79750</v>
      </c>
      <c r="Z28" s="51">
        <f t="shared" si="13"/>
        <v>79750</v>
      </c>
      <c r="AA28" s="51">
        <f t="shared" si="13"/>
        <v>79750</v>
      </c>
      <c r="AB28" s="51">
        <f t="shared" si="13"/>
        <v>79750</v>
      </c>
      <c r="AC28" s="51">
        <f t="shared" si="13"/>
        <v>79750</v>
      </c>
      <c r="AD28" s="51">
        <f t="shared" si="13"/>
        <v>79750</v>
      </c>
      <c r="AE28" s="51">
        <f t="shared" si="13"/>
        <v>79750</v>
      </c>
      <c r="AF28" s="51">
        <f t="shared" si="13"/>
        <v>79750</v>
      </c>
      <c r="AG28" s="51">
        <f t="shared" si="13"/>
        <v>79750</v>
      </c>
      <c r="AH28" s="51">
        <f t="shared" si="13"/>
        <v>79750</v>
      </c>
      <c r="AI28" s="51">
        <f t="shared" si="13"/>
        <v>79750</v>
      </c>
      <c r="AJ28" s="51">
        <f t="shared" si="13"/>
        <v>79750</v>
      </c>
      <c r="AK28" s="51">
        <f t="shared" si="13"/>
        <v>79750</v>
      </c>
      <c r="AL28" s="51">
        <f t="shared" si="13"/>
        <v>79750</v>
      </c>
      <c r="AM28" s="51">
        <f t="shared" si="13"/>
        <v>79750</v>
      </c>
      <c r="AN28" s="51">
        <f t="shared" si="13"/>
        <v>79750</v>
      </c>
      <c r="AO28" s="51">
        <f t="shared" si="13"/>
        <v>79750</v>
      </c>
      <c r="AP28" s="51">
        <f t="shared" si="13"/>
        <v>79750</v>
      </c>
      <c r="AQ28" s="51">
        <f t="shared" si="13"/>
        <v>79750</v>
      </c>
      <c r="AR28" s="51">
        <f t="shared" si="13"/>
        <v>79750</v>
      </c>
      <c r="AS28" s="51">
        <f t="shared" si="13"/>
        <v>79750</v>
      </c>
      <c r="AT28" s="51">
        <f t="shared" si="13"/>
        <v>79750</v>
      </c>
      <c r="AU28" s="51">
        <f t="shared" si="13"/>
        <v>79750</v>
      </c>
      <c r="AV28" s="51">
        <f t="shared" si="13"/>
        <v>79750</v>
      </c>
      <c r="AW28" s="51">
        <f t="shared" si="13"/>
        <v>79750</v>
      </c>
      <c r="AX28" s="51">
        <f t="shared" si="13"/>
        <v>79750</v>
      </c>
      <c r="AY28" s="51">
        <f t="shared" si="13"/>
        <v>79750</v>
      </c>
      <c r="AZ28" s="51">
        <f t="shared" si="13"/>
        <v>79750</v>
      </c>
      <c r="BA28" s="51">
        <f t="shared" si="13"/>
        <v>79750</v>
      </c>
      <c r="BB28" s="51">
        <f t="shared" si="13"/>
        <v>79750</v>
      </c>
      <c r="BC28" s="51">
        <f t="shared" si="13"/>
        <v>79750</v>
      </c>
      <c r="BD28" s="51">
        <f t="shared" si="13"/>
        <v>79750</v>
      </c>
      <c r="BE28" s="51">
        <f t="shared" si="13"/>
        <v>79750</v>
      </c>
      <c r="BF28" s="51">
        <f t="shared" si="13"/>
        <v>79750</v>
      </c>
      <c r="BG28" s="51">
        <f t="shared" si="13"/>
        <v>79750</v>
      </c>
      <c r="BH28" s="51">
        <f t="shared" si="13"/>
        <v>79750</v>
      </c>
      <c r="BI28" s="51">
        <f t="shared" si="13"/>
        <v>79750</v>
      </c>
      <c r="BJ28" s="51">
        <f t="shared" si="13"/>
        <v>79750</v>
      </c>
      <c r="BK28" s="51">
        <f t="shared" si="13"/>
        <v>79750</v>
      </c>
      <c r="BL28" s="51">
        <f t="shared" si="13"/>
        <v>79750</v>
      </c>
      <c r="BM28" s="51">
        <f t="shared" si="13"/>
        <v>79750</v>
      </c>
    </row>
    <row r="29" spans="1:65" ht="28.5" customHeight="1" x14ac:dyDescent="0.2">
      <c r="B29" s="52" t="str">
        <f>B24</f>
        <v>Depreciación acumulada</v>
      </c>
      <c r="C29" s="52"/>
      <c r="D29" s="52"/>
      <c r="E29" s="51"/>
      <c r="F29" s="51">
        <f>E29+F28</f>
        <v>79750</v>
      </c>
      <c r="G29" s="51">
        <f t="shared" ref="G29:BM29" si="14">F29+G28</f>
        <v>159500</v>
      </c>
      <c r="H29" s="51">
        <f t="shared" si="14"/>
        <v>239250</v>
      </c>
      <c r="I29" s="51">
        <f t="shared" si="14"/>
        <v>319000</v>
      </c>
      <c r="J29" s="51">
        <f t="shared" si="14"/>
        <v>398750</v>
      </c>
      <c r="K29" s="51">
        <f t="shared" si="14"/>
        <v>478500</v>
      </c>
      <c r="L29" s="51">
        <f t="shared" si="14"/>
        <v>558250</v>
      </c>
      <c r="M29" s="51">
        <f t="shared" si="14"/>
        <v>638000</v>
      </c>
      <c r="N29" s="51">
        <f t="shared" si="14"/>
        <v>717750</v>
      </c>
      <c r="O29" s="51">
        <f t="shared" si="14"/>
        <v>797500</v>
      </c>
      <c r="P29" s="51">
        <f t="shared" si="14"/>
        <v>877250</v>
      </c>
      <c r="Q29" s="51">
        <f t="shared" si="14"/>
        <v>957000</v>
      </c>
      <c r="R29" s="51">
        <f t="shared" si="14"/>
        <v>1036750</v>
      </c>
      <c r="S29" s="51">
        <f t="shared" si="14"/>
        <v>1116500</v>
      </c>
      <c r="T29" s="51">
        <f t="shared" si="14"/>
        <v>1196250</v>
      </c>
      <c r="U29" s="51">
        <f t="shared" si="14"/>
        <v>1276000</v>
      </c>
      <c r="V29" s="51">
        <f t="shared" si="14"/>
        <v>1355750</v>
      </c>
      <c r="W29" s="51">
        <f t="shared" si="14"/>
        <v>1435500</v>
      </c>
      <c r="X29" s="51">
        <f t="shared" si="14"/>
        <v>1515250</v>
      </c>
      <c r="Y29" s="51">
        <f t="shared" si="14"/>
        <v>1595000</v>
      </c>
      <c r="Z29" s="51">
        <f t="shared" si="14"/>
        <v>1674750</v>
      </c>
      <c r="AA29" s="51">
        <f t="shared" si="14"/>
        <v>1754500</v>
      </c>
      <c r="AB29" s="51">
        <f t="shared" si="14"/>
        <v>1834250</v>
      </c>
      <c r="AC29" s="51">
        <f t="shared" si="14"/>
        <v>1914000</v>
      </c>
      <c r="AD29" s="51">
        <f t="shared" si="14"/>
        <v>1993750</v>
      </c>
      <c r="AE29" s="51">
        <f t="shared" si="14"/>
        <v>2073500</v>
      </c>
      <c r="AF29" s="51">
        <f t="shared" si="14"/>
        <v>2153250</v>
      </c>
      <c r="AG29" s="51">
        <f t="shared" si="14"/>
        <v>2233000</v>
      </c>
      <c r="AH29" s="51">
        <f t="shared" si="14"/>
        <v>2312750</v>
      </c>
      <c r="AI29" s="51">
        <f t="shared" si="14"/>
        <v>2392500</v>
      </c>
      <c r="AJ29" s="51">
        <f t="shared" si="14"/>
        <v>2472250</v>
      </c>
      <c r="AK29" s="51">
        <f t="shared" si="14"/>
        <v>2552000</v>
      </c>
      <c r="AL29" s="51">
        <f t="shared" si="14"/>
        <v>2631750</v>
      </c>
      <c r="AM29" s="51">
        <f t="shared" si="14"/>
        <v>2711500</v>
      </c>
      <c r="AN29" s="51">
        <f t="shared" si="14"/>
        <v>2791250</v>
      </c>
      <c r="AO29" s="51">
        <f t="shared" si="14"/>
        <v>2871000</v>
      </c>
      <c r="AP29" s="51">
        <f t="shared" si="14"/>
        <v>2950750</v>
      </c>
      <c r="AQ29" s="51">
        <f t="shared" si="14"/>
        <v>3030500</v>
      </c>
      <c r="AR29" s="51">
        <f t="shared" si="14"/>
        <v>3110250</v>
      </c>
      <c r="AS29" s="51">
        <f t="shared" si="14"/>
        <v>3190000</v>
      </c>
      <c r="AT29" s="51">
        <f t="shared" si="14"/>
        <v>3269750</v>
      </c>
      <c r="AU29" s="51">
        <f t="shared" si="14"/>
        <v>3349500</v>
      </c>
      <c r="AV29" s="51">
        <f t="shared" si="14"/>
        <v>3429250</v>
      </c>
      <c r="AW29" s="51">
        <f t="shared" si="14"/>
        <v>3509000</v>
      </c>
      <c r="AX29" s="51">
        <f t="shared" si="14"/>
        <v>3588750</v>
      </c>
      <c r="AY29" s="51">
        <f t="shared" si="14"/>
        <v>3668500</v>
      </c>
      <c r="AZ29" s="51">
        <f t="shared" si="14"/>
        <v>3748250</v>
      </c>
      <c r="BA29" s="51">
        <f t="shared" si="14"/>
        <v>3828000</v>
      </c>
      <c r="BB29" s="51">
        <f t="shared" si="14"/>
        <v>3907750</v>
      </c>
      <c r="BC29" s="51">
        <f t="shared" si="14"/>
        <v>3987500</v>
      </c>
      <c r="BD29" s="51">
        <f t="shared" si="14"/>
        <v>4067250</v>
      </c>
      <c r="BE29" s="51">
        <f t="shared" si="14"/>
        <v>4147000</v>
      </c>
      <c r="BF29" s="51">
        <f t="shared" si="14"/>
        <v>4226750</v>
      </c>
      <c r="BG29" s="51">
        <f t="shared" si="14"/>
        <v>4306500</v>
      </c>
      <c r="BH29" s="51">
        <f t="shared" si="14"/>
        <v>4386250</v>
      </c>
      <c r="BI29" s="51">
        <f t="shared" si="14"/>
        <v>4466000</v>
      </c>
      <c r="BJ29" s="51">
        <f t="shared" si="14"/>
        <v>4545750</v>
      </c>
      <c r="BK29" s="51">
        <f t="shared" si="14"/>
        <v>4625500</v>
      </c>
      <c r="BL29" s="51">
        <f t="shared" si="14"/>
        <v>4705250</v>
      </c>
      <c r="BM29" s="51">
        <f t="shared" si="14"/>
        <v>4785000</v>
      </c>
    </row>
    <row r="30" spans="1:65" ht="28.5" customHeight="1" x14ac:dyDescent="0.2">
      <c r="B30" s="52" t="s">
        <v>131</v>
      </c>
      <c r="C30" s="52"/>
      <c r="D30" s="52"/>
      <c r="E30" s="51">
        <f>E27-E29</f>
        <v>9570000</v>
      </c>
      <c r="F30" s="51">
        <f t="shared" ref="F30:BI30" si="15">F27-F29</f>
        <v>9490250</v>
      </c>
      <c r="G30" s="51">
        <f t="shared" si="15"/>
        <v>9410500</v>
      </c>
      <c r="H30" s="51">
        <f t="shared" si="15"/>
        <v>9330750</v>
      </c>
      <c r="I30" s="51">
        <f t="shared" si="15"/>
        <v>9251000</v>
      </c>
      <c r="J30" s="51">
        <f t="shared" si="15"/>
        <v>9171250</v>
      </c>
      <c r="K30" s="51">
        <f t="shared" si="15"/>
        <v>9091500</v>
      </c>
      <c r="L30" s="51">
        <f t="shared" si="15"/>
        <v>9011750</v>
      </c>
      <c r="M30" s="51">
        <f t="shared" si="15"/>
        <v>8932000</v>
      </c>
      <c r="N30" s="51">
        <f t="shared" si="15"/>
        <v>8852250</v>
      </c>
      <c r="O30" s="51">
        <f t="shared" si="15"/>
        <v>8772500</v>
      </c>
      <c r="P30" s="51">
        <f t="shared" si="15"/>
        <v>8692750</v>
      </c>
      <c r="Q30" s="51">
        <f t="shared" si="15"/>
        <v>8613000</v>
      </c>
      <c r="R30" s="51">
        <f t="shared" si="15"/>
        <v>8533250</v>
      </c>
      <c r="S30" s="51">
        <f t="shared" si="15"/>
        <v>8453500</v>
      </c>
      <c r="T30" s="51">
        <f t="shared" si="15"/>
        <v>8373750</v>
      </c>
      <c r="U30" s="51">
        <f t="shared" si="15"/>
        <v>8294000</v>
      </c>
      <c r="V30" s="51">
        <f t="shared" si="15"/>
        <v>8214250</v>
      </c>
      <c r="W30" s="51">
        <f t="shared" si="15"/>
        <v>8134500</v>
      </c>
      <c r="X30" s="51">
        <f t="shared" si="15"/>
        <v>8054750</v>
      </c>
      <c r="Y30" s="51">
        <f t="shared" si="15"/>
        <v>7975000</v>
      </c>
      <c r="Z30" s="51">
        <f t="shared" si="15"/>
        <v>7895250</v>
      </c>
      <c r="AA30" s="51">
        <f t="shared" si="15"/>
        <v>7815500</v>
      </c>
      <c r="AB30" s="51">
        <f t="shared" si="15"/>
        <v>7735750</v>
      </c>
      <c r="AC30" s="51">
        <f t="shared" si="15"/>
        <v>7656000</v>
      </c>
      <c r="AD30" s="51">
        <f t="shared" si="15"/>
        <v>7576250</v>
      </c>
      <c r="AE30" s="51">
        <f t="shared" si="15"/>
        <v>7496500</v>
      </c>
      <c r="AF30" s="51">
        <f t="shared" si="15"/>
        <v>7416750</v>
      </c>
      <c r="AG30" s="51">
        <f t="shared" si="15"/>
        <v>7337000</v>
      </c>
      <c r="AH30" s="51">
        <f t="shared" si="15"/>
        <v>7257250</v>
      </c>
      <c r="AI30" s="51">
        <f t="shared" si="15"/>
        <v>7177500</v>
      </c>
      <c r="AJ30" s="51">
        <f t="shared" si="15"/>
        <v>7097750</v>
      </c>
      <c r="AK30" s="51">
        <f t="shared" si="15"/>
        <v>7018000</v>
      </c>
      <c r="AL30" s="51">
        <f t="shared" si="15"/>
        <v>6938250</v>
      </c>
      <c r="AM30" s="51">
        <f t="shared" si="15"/>
        <v>6858500</v>
      </c>
      <c r="AN30" s="51">
        <f t="shared" si="15"/>
        <v>6778750</v>
      </c>
      <c r="AO30" s="51">
        <f t="shared" si="15"/>
        <v>6699000</v>
      </c>
      <c r="AP30" s="51">
        <f t="shared" si="15"/>
        <v>6619250</v>
      </c>
      <c r="AQ30" s="51">
        <f t="shared" si="15"/>
        <v>6539500</v>
      </c>
      <c r="AR30" s="51">
        <f t="shared" si="15"/>
        <v>6459750</v>
      </c>
      <c r="AS30" s="51">
        <f t="shared" si="15"/>
        <v>6380000</v>
      </c>
      <c r="AT30" s="51">
        <f t="shared" si="15"/>
        <v>6300250</v>
      </c>
      <c r="AU30" s="51">
        <f t="shared" si="15"/>
        <v>6220500</v>
      </c>
      <c r="AV30" s="51">
        <f t="shared" si="15"/>
        <v>6140750</v>
      </c>
      <c r="AW30" s="51">
        <f t="shared" si="15"/>
        <v>6061000</v>
      </c>
      <c r="AX30" s="51">
        <f t="shared" si="15"/>
        <v>5981250</v>
      </c>
      <c r="AY30" s="51">
        <f t="shared" si="15"/>
        <v>5901500</v>
      </c>
      <c r="AZ30" s="51">
        <f t="shared" si="15"/>
        <v>5821750</v>
      </c>
      <c r="BA30" s="51">
        <f t="shared" si="15"/>
        <v>5742000</v>
      </c>
      <c r="BB30" s="51">
        <f t="shared" si="15"/>
        <v>5662250</v>
      </c>
      <c r="BC30" s="51">
        <f t="shared" si="15"/>
        <v>5582500</v>
      </c>
      <c r="BD30" s="51">
        <f t="shared" si="15"/>
        <v>5502750</v>
      </c>
      <c r="BE30" s="51">
        <f t="shared" si="15"/>
        <v>5423000</v>
      </c>
      <c r="BF30" s="51">
        <f t="shared" si="15"/>
        <v>5343250</v>
      </c>
      <c r="BG30" s="51">
        <f t="shared" si="15"/>
        <v>5263500</v>
      </c>
      <c r="BH30" s="51">
        <f t="shared" si="15"/>
        <v>5183750</v>
      </c>
      <c r="BI30" s="51">
        <f t="shared" si="15"/>
        <v>5104000</v>
      </c>
      <c r="BJ30" s="51">
        <f>BJ27-BJ29</f>
        <v>5024250</v>
      </c>
      <c r="BK30" s="51">
        <f>BK27-BK29</f>
        <v>4944500</v>
      </c>
      <c r="BL30" s="51">
        <f>BL27-BL29</f>
        <v>4864750</v>
      </c>
      <c r="BM30" s="51">
        <f>BM27-BM29</f>
        <v>4785000</v>
      </c>
    </row>
    <row r="32" spans="1:65" ht="16" thickBot="1" x14ac:dyDescent="0.25">
      <c r="A32" s="10"/>
      <c r="B32" s="10"/>
      <c r="C32" s="10"/>
      <c r="E32" s="53"/>
      <c r="F32" s="53"/>
      <c r="G32" s="53"/>
      <c r="H32" s="53"/>
      <c r="I32" s="53"/>
      <c r="J32" s="53"/>
      <c r="K32" s="53"/>
      <c r="L32" s="53"/>
      <c r="M32" s="53"/>
    </row>
    <row r="33" spans="1:16" ht="16" thickBot="1" x14ac:dyDescent="0.25">
      <c r="B33" s="188" t="s">
        <v>132</v>
      </c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90"/>
    </row>
    <row r="34" spans="1:16" x14ac:dyDescent="0.2">
      <c r="E34" s="53"/>
      <c r="F34" s="53"/>
      <c r="G34" s="53"/>
      <c r="H34" s="53"/>
      <c r="I34" s="53"/>
      <c r="J34" s="53"/>
      <c r="K34" s="53"/>
      <c r="L34" s="53"/>
      <c r="M34" s="53"/>
    </row>
    <row r="35" spans="1:16" ht="16" x14ac:dyDescent="0.2">
      <c r="B35" s="49" t="s">
        <v>123</v>
      </c>
      <c r="C35" s="51"/>
      <c r="D35" s="54" t="s">
        <v>133</v>
      </c>
      <c r="E35" s="55">
        <v>45688</v>
      </c>
      <c r="F35" s="55">
        <v>45716</v>
      </c>
      <c r="G35" s="55">
        <v>45747</v>
      </c>
      <c r="H35" s="55">
        <v>45777</v>
      </c>
      <c r="I35" s="55">
        <v>45808</v>
      </c>
      <c r="J35" s="55">
        <v>45838</v>
      </c>
      <c r="K35" s="55">
        <v>45869</v>
      </c>
      <c r="L35" s="55">
        <v>45900</v>
      </c>
      <c r="M35" s="55">
        <v>45930</v>
      </c>
      <c r="N35" s="55">
        <v>45961</v>
      </c>
      <c r="O35" s="55">
        <v>45991</v>
      </c>
      <c r="P35" s="55">
        <v>46022</v>
      </c>
    </row>
    <row r="36" spans="1:16" x14ac:dyDescent="0.2">
      <c r="B36" s="56" t="s">
        <v>70</v>
      </c>
      <c r="C36" s="57"/>
      <c r="D36" s="58">
        <f>'Inversiones iniciales'!H6</f>
        <v>0.74740947075208919</v>
      </c>
      <c r="E36" s="57">
        <f>F13*$D$36</f>
        <v>55900.000000000007</v>
      </c>
      <c r="F36" s="57">
        <f t="shared" ref="F36:P36" si="16">G13*$D$36</f>
        <v>55900.000000000007</v>
      </c>
      <c r="G36" s="57">
        <f t="shared" si="16"/>
        <v>55900.000000000007</v>
      </c>
      <c r="H36" s="57">
        <f t="shared" si="16"/>
        <v>55900.000000000007</v>
      </c>
      <c r="I36" s="57">
        <f t="shared" si="16"/>
        <v>55900.000000000007</v>
      </c>
      <c r="J36" s="57">
        <f t="shared" si="16"/>
        <v>55900.000000000007</v>
      </c>
      <c r="K36" s="57">
        <f t="shared" si="16"/>
        <v>55900.000000000007</v>
      </c>
      <c r="L36" s="57">
        <f t="shared" si="16"/>
        <v>55900.000000000007</v>
      </c>
      <c r="M36" s="57">
        <f t="shared" si="16"/>
        <v>55900.000000000007</v>
      </c>
      <c r="N36" s="57">
        <f t="shared" si="16"/>
        <v>55900.000000000007</v>
      </c>
      <c r="O36" s="57">
        <f t="shared" si="16"/>
        <v>55900.000000000007</v>
      </c>
      <c r="P36" s="57">
        <f t="shared" si="16"/>
        <v>55900.000000000007</v>
      </c>
    </row>
    <row r="37" spans="1:16" x14ac:dyDescent="0.2">
      <c r="B37" s="56" t="s">
        <v>68</v>
      </c>
      <c r="C37" s="57"/>
      <c r="D37" s="58">
        <f>'Inversiones iniciales'!H4</f>
        <v>0.44444444444444442</v>
      </c>
      <c r="E37" s="57">
        <f t="shared" ref="E37:P37" si="17">F18*$D$37</f>
        <v>33333.333333333328</v>
      </c>
      <c r="F37" s="57">
        <f t="shared" si="17"/>
        <v>33333.333333333328</v>
      </c>
      <c r="G37" s="57">
        <f t="shared" si="17"/>
        <v>33333.333333333328</v>
      </c>
      <c r="H37" s="57">
        <f t="shared" si="17"/>
        <v>33333.333333333328</v>
      </c>
      <c r="I37" s="57">
        <f t="shared" si="17"/>
        <v>33333.333333333328</v>
      </c>
      <c r="J37" s="57">
        <f t="shared" si="17"/>
        <v>33333.333333333328</v>
      </c>
      <c r="K37" s="57">
        <f t="shared" si="17"/>
        <v>33333.333333333328</v>
      </c>
      <c r="L37" s="57">
        <f t="shared" si="17"/>
        <v>33333.333333333328</v>
      </c>
      <c r="M37" s="57">
        <f t="shared" si="17"/>
        <v>33333.333333333328</v>
      </c>
      <c r="N37" s="57">
        <f t="shared" si="17"/>
        <v>33333.333333333328</v>
      </c>
      <c r="O37" s="57">
        <f t="shared" si="17"/>
        <v>33333.333333333328</v>
      </c>
      <c r="P37" s="57">
        <f t="shared" si="17"/>
        <v>33333.333333333328</v>
      </c>
    </row>
    <row r="38" spans="1:16" x14ac:dyDescent="0.2">
      <c r="B38" s="56" t="s">
        <v>122</v>
      </c>
      <c r="C38" s="57"/>
      <c r="D38" s="58">
        <f>'Inversiones iniciales'!H5</f>
        <v>0.10123355263157895</v>
      </c>
      <c r="E38" s="57">
        <f t="shared" ref="E38:P38" si="18">F23*$D$38</f>
        <v>20516.666666666664</v>
      </c>
      <c r="F38" s="57">
        <f t="shared" si="18"/>
        <v>20516.666666666664</v>
      </c>
      <c r="G38" s="57">
        <f>H23*$D$38</f>
        <v>20516.666666666664</v>
      </c>
      <c r="H38" s="57">
        <f t="shared" si="18"/>
        <v>20516.666666666664</v>
      </c>
      <c r="I38" s="57">
        <f t="shared" si="18"/>
        <v>20516.666666666664</v>
      </c>
      <c r="J38" s="57">
        <f t="shared" si="18"/>
        <v>20516.666666666664</v>
      </c>
      <c r="K38" s="57">
        <f t="shared" si="18"/>
        <v>20516.666666666664</v>
      </c>
      <c r="L38" s="57">
        <f t="shared" si="18"/>
        <v>20516.666666666664</v>
      </c>
      <c r="M38" s="57">
        <f t="shared" si="18"/>
        <v>20516.666666666664</v>
      </c>
      <c r="N38" s="57">
        <f t="shared" si="18"/>
        <v>20516.666666666664</v>
      </c>
      <c r="O38" s="57">
        <f t="shared" si="18"/>
        <v>20516.666666666664</v>
      </c>
      <c r="P38" s="57">
        <f t="shared" si="18"/>
        <v>20516.666666666664</v>
      </c>
    </row>
    <row r="39" spans="1:16" x14ac:dyDescent="0.2">
      <c r="B39" s="56" t="s">
        <v>71</v>
      </c>
      <c r="C39" s="57"/>
      <c r="D39" s="58">
        <f>'Inversiones iniciales'!H7</f>
        <v>0.17429467084639497</v>
      </c>
      <c r="E39" s="57">
        <f t="shared" ref="E39:P39" si="19">F28*$D$39</f>
        <v>13899.999999999998</v>
      </c>
      <c r="F39" s="57">
        <f t="shared" si="19"/>
        <v>13899.999999999998</v>
      </c>
      <c r="G39" s="57">
        <f t="shared" si="19"/>
        <v>13899.999999999998</v>
      </c>
      <c r="H39" s="57">
        <f t="shared" si="19"/>
        <v>13899.999999999998</v>
      </c>
      <c r="I39" s="57">
        <f t="shared" si="19"/>
        <v>13899.999999999998</v>
      </c>
      <c r="J39" s="57">
        <f t="shared" si="19"/>
        <v>13899.999999999998</v>
      </c>
      <c r="K39" s="57">
        <f t="shared" si="19"/>
        <v>13899.999999999998</v>
      </c>
      <c r="L39" s="57">
        <f t="shared" si="19"/>
        <v>13899.999999999998</v>
      </c>
      <c r="M39" s="57">
        <f t="shared" si="19"/>
        <v>13899.999999999998</v>
      </c>
      <c r="N39" s="57">
        <f t="shared" si="19"/>
        <v>13899.999999999998</v>
      </c>
      <c r="O39" s="57">
        <f t="shared" si="19"/>
        <v>13899.999999999998</v>
      </c>
      <c r="P39" s="57">
        <f t="shared" si="19"/>
        <v>13899.999999999998</v>
      </c>
    </row>
    <row r="40" spans="1:16" x14ac:dyDescent="0.2">
      <c r="E40" s="117">
        <f>SUM(E36:E39)</f>
        <v>123650</v>
      </c>
      <c r="F40" s="59">
        <f t="shared" ref="F40:P40" si="20">SUM(F36:F39)</f>
        <v>123650</v>
      </c>
      <c r="G40" s="59">
        <f t="shared" si="20"/>
        <v>123650</v>
      </c>
      <c r="H40" s="59">
        <f t="shared" si="20"/>
        <v>123650</v>
      </c>
      <c r="I40" s="59">
        <f t="shared" si="20"/>
        <v>123650</v>
      </c>
      <c r="J40" s="59">
        <f t="shared" si="20"/>
        <v>123650</v>
      </c>
      <c r="K40" s="59">
        <f t="shared" si="20"/>
        <v>123650</v>
      </c>
      <c r="L40" s="59">
        <f t="shared" si="20"/>
        <v>123650</v>
      </c>
      <c r="M40" s="59">
        <f t="shared" si="20"/>
        <v>123650</v>
      </c>
      <c r="N40" s="59">
        <f t="shared" si="20"/>
        <v>123650</v>
      </c>
      <c r="O40" s="59">
        <f t="shared" si="20"/>
        <v>123650</v>
      </c>
      <c r="P40" s="59">
        <f t="shared" si="20"/>
        <v>123650</v>
      </c>
    </row>
    <row r="41" spans="1:16" x14ac:dyDescent="0.2">
      <c r="A41" s="35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</row>
    <row r="42" spans="1:16" x14ac:dyDescent="0.2">
      <c r="E42" s="53"/>
      <c r="F42" s="53"/>
      <c r="G42" s="53"/>
      <c r="H42" s="53"/>
      <c r="I42" s="53"/>
      <c r="J42" s="53"/>
      <c r="K42" s="53"/>
      <c r="L42" s="53"/>
      <c r="M42" s="53"/>
    </row>
    <row r="43" spans="1:16" x14ac:dyDescent="0.2">
      <c r="B43" s="49" t="s">
        <v>134</v>
      </c>
      <c r="C43" s="57">
        <f>'Otros gastos y costos'!C55</f>
        <v>1350000</v>
      </c>
      <c r="D43" s="61">
        <v>0.02</v>
      </c>
      <c r="E43" s="62">
        <f>C43*(1+$D$43)</f>
        <v>1377000</v>
      </c>
      <c r="F43" s="62">
        <f>E43*(1+$D$43)</f>
        <v>1404540</v>
      </c>
      <c r="G43" s="62">
        <f>F43*(1+$D$43)</f>
        <v>1432630.8</v>
      </c>
      <c r="H43" s="62">
        <f t="shared" ref="H43:P43" si="21">G43*(1+$D$43)</f>
        <v>1461283.416</v>
      </c>
      <c r="I43" s="62">
        <f t="shared" si="21"/>
        <v>1490509.0843199999</v>
      </c>
      <c r="J43" s="62">
        <f t="shared" si="21"/>
        <v>1520319.2660063999</v>
      </c>
      <c r="K43" s="62">
        <f t="shared" si="21"/>
        <v>1550725.6513265278</v>
      </c>
      <c r="L43" s="62">
        <f t="shared" si="21"/>
        <v>1581740.1643530584</v>
      </c>
      <c r="M43" s="62">
        <f t="shared" si="21"/>
        <v>1613374.9676401196</v>
      </c>
      <c r="N43" s="62">
        <f t="shared" si="21"/>
        <v>1645642.4669929221</v>
      </c>
      <c r="O43" s="62">
        <f t="shared" si="21"/>
        <v>1678555.3163327805</v>
      </c>
      <c r="P43" s="62">
        <f t="shared" si="21"/>
        <v>1712126.4226594362</v>
      </c>
    </row>
    <row r="44" spans="1:16" x14ac:dyDescent="0.2">
      <c r="B44" s="49" t="s">
        <v>276</v>
      </c>
      <c r="C44" s="63"/>
      <c r="D44" s="61">
        <v>0.6</v>
      </c>
      <c r="E44" s="57">
        <f>E43*$D$44</f>
        <v>826200</v>
      </c>
      <c r="F44" s="57">
        <f t="shared" ref="F44:P44" si="22">F43*$D$44</f>
        <v>842724</v>
      </c>
      <c r="G44" s="57">
        <f t="shared" si="22"/>
        <v>859578.48</v>
      </c>
      <c r="H44" s="57">
        <f>H43*$D$44</f>
        <v>876770.04959999991</v>
      </c>
      <c r="I44" s="57">
        <f t="shared" si="22"/>
        <v>894305.45059199992</v>
      </c>
      <c r="J44" s="57">
        <f t="shared" si="22"/>
        <v>912191.55960383988</v>
      </c>
      <c r="K44" s="57">
        <f t="shared" si="22"/>
        <v>930435.39079591667</v>
      </c>
      <c r="L44" s="57">
        <f t="shared" si="22"/>
        <v>949044.09861183504</v>
      </c>
      <c r="M44" s="57">
        <f t="shared" si="22"/>
        <v>968024.98058407172</v>
      </c>
      <c r="N44" s="57">
        <f t="shared" si="22"/>
        <v>987385.48019575328</v>
      </c>
      <c r="O44" s="57">
        <f t="shared" si="22"/>
        <v>1007133.1897996683</v>
      </c>
      <c r="P44" s="57">
        <f t="shared" si="22"/>
        <v>1027275.8535956617</v>
      </c>
    </row>
    <row r="45" spans="1:16" x14ac:dyDescent="0.2">
      <c r="E45" s="53"/>
      <c r="F45" s="53"/>
      <c r="G45" s="53"/>
      <c r="H45" s="53"/>
      <c r="I45" s="53"/>
      <c r="J45" s="53"/>
      <c r="K45" s="53"/>
      <c r="L45" s="53"/>
      <c r="M45" s="53"/>
    </row>
    <row r="46" spans="1:16" x14ac:dyDescent="0.2">
      <c r="C46" s="2" t="s">
        <v>327</v>
      </c>
      <c r="D46" s="2" t="s">
        <v>324</v>
      </c>
      <c r="E46" s="53"/>
      <c r="F46" s="53"/>
      <c r="G46" s="53"/>
      <c r="H46" s="53"/>
      <c r="I46" s="53"/>
      <c r="J46" s="53"/>
      <c r="K46" s="53"/>
      <c r="L46" s="53"/>
      <c r="M46" s="53"/>
    </row>
    <row r="47" spans="1:16" x14ac:dyDescent="0.2">
      <c r="B47" s="49" t="s">
        <v>135</v>
      </c>
      <c r="C47" s="51">
        <f>'Otros gastos y costos'!G41</f>
        <v>2220</v>
      </c>
      <c r="D47" s="51">
        <f>'Otros gastos y costos'!G40</f>
        <v>1260</v>
      </c>
      <c r="E47" s="57">
        <f>($C$47*'Proyecciones (Ventas y MP)'!C26)+('Proyecciones (Ventas y MP)'!C66*'Depreciaciones, GA, GV, CIFs'!$D$47)</f>
        <v>1927620</v>
      </c>
      <c r="F47" s="51">
        <f>($C$47*'Proyecciones (Ventas y MP)'!D26)+('Proyecciones (Ventas y MP)'!D66*'Depreciaciones, GA, GV, CIFs'!$D$47)</f>
        <v>2569740</v>
      </c>
      <c r="G47" s="51">
        <f>($C$47*'Proyecciones (Ventas y MP)'!E26)+('Proyecciones (Ventas y MP)'!E66*'Depreciaciones, GA, GV, CIFs'!$D$47)</f>
        <v>2470200</v>
      </c>
      <c r="H47" s="51">
        <f>($C$47*'Proyecciones (Ventas y MP)'!F26)+('Proyecciones (Ventas y MP)'!F66*'Depreciaciones, GA, GV, CIFs'!$D$47)</f>
        <v>2038620</v>
      </c>
      <c r="I47" s="51">
        <f>($C$47*'Proyecciones (Ventas y MP)'!G26)+('Proyecciones (Ventas y MP)'!G66*'Depreciaciones, GA, GV, CIFs'!$D$47)</f>
        <v>2569740</v>
      </c>
      <c r="J47" s="51">
        <f>($C$47*'Proyecciones (Ventas y MP)'!H26)+('Proyecciones (Ventas y MP)'!H66*'Depreciaciones, GA, GV, CIFs'!$D$47)</f>
        <v>2089020</v>
      </c>
      <c r="K47" s="51">
        <f>($C$47*'Proyecciones (Ventas y MP)'!I26)+('Proyecciones (Ventas y MP)'!I66*'Depreciaciones, GA, GV, CIFs'!$D$47)</f>
        <v>1927620</v>
      </c>
      <c r="L47" s="51">
        <f>($C$47*'Proyecciones (Ventas y MP)'!J26)+('Proyecciones (Ventas y MP)'!J66*'Depreciaciones, GA, GV, CIFs'!$D$47)</f>
        <v>1927620</v>
      </c>
      <c r="M47" s="51">
        <f>($C$47*'Proyecciones (Ventas y MP)'!K26)+('Proyecciones (Ventas y MP)'!K66*'Depreciaciones, GA, GV, CIFs'!$D$47)</f>
        <v>2892540</v>
      </c>
      <c r="N47" s="51">
        <f>($C$47*'Proyecciones (Ventas y MP)'!L26)+('Proyecciones (Ventas y MP)'!L66*'Depreciaciones, GA, GV, CIFs'!$D$47)</f>
        <v>2250420</v>
      </c>
      <c r="O47" s="51">
        <f>($C$47*'Proyecciones (Ventas y MP)'!M26)+('Proyecciones (Ventas y MP)'!M66*'Depreciaciones, GA, GV, CIFs'!$D$47)</f>
        <v>2038620</v>
      </c>
      <c r="P47" s="51">
        <f>($C$47*'Proyecciones (Ventas y MP)'!N26)+('Proyecciones (Ventas y MP)'!N66*'Depreciaciones, GA, GV, CIFs'!$D$47)</f>
        <v>2942940</v>
      </c>
    </row>
    <row r="48" spans="1:16" x14ac:dyDescent="0.2">
      <c r="E48" s="53"/>
      <c r="F48" s="53"/>
      <c r="G48" s="53"/>
      <c r="H48" s="53"/>
      <c r="I48" s="53"/>
      <c r="J48" s="53"/>
      <c r="K48" s="53"/>
      <c r="L48" s="53"/>
      <c r="M48" s="53"/>
    </row>
    <row r="49" spans="1:17" x14ac:dyDescent="0.2">
      <c r="B49" s="49" t="s">
        <v>136</v>
      </c>
      <c r="C49" s="51"/>
      <c r="D49" s="58">
        <v>0.01</v>
      </c>
      <c r="E49" s="57">
        <f>(E44+E47+E53)*$D$49+'Otros gastos y costos'!C6</f>
        <v>2035247.804</v>
      </c>
      <c r="F49" s="57">
        <f>(F44+F47+F53)*$D$49+'Otros gastos y costos'!$C$43+'Otros gastos y costos'!C46</f>
        <v>1591834.2439999999</v>
      </c>
      <c r="G49" s="57">
        <f>(G44+G47+G53)*$D$49+'Otros gastos y costos'!$C$43+'Otros gastos y costos'!C46</f>
        <v>1591007.3888000001</v>
      </c>
      <c r="H49" s="57">
        <f>(H44+H47+H53)*$D$49+'Otros gastos y costos'!$C$43+'Otros gastos y costos'!C46</f>
        <v>1586863.504496</v>
      </c>
      <c r="I49" s="57">
        <f>(I44+I47+I53)*$D$49+'Otros gastos y costos'!$C$43+'Otros gastos y costos'!C46</f>
        <v>1592350.05850592</v>
      </c>
      <c r="J49" s="57">
        <f>(J44+J47+J53)*$D$49+'Otros gastos y costos'!$C$43+'Otros gastos y costos'!C46</f>
        <v>1587721.7195960383</v>
      </c>
      <c r="K49" s="57">
        <f>(K44+K47+K53)*$D$49+'Otros gastos y costos'!$C$43+'Otros gastos y costos'!C46</f>
        <v>1586290.1579079591</v>
      </c>
      <c r="L49" s="57">
        <f>(L44+L47+L53)*$D$49+'Otros gastos y costos'!$C$43+'Otros gastos y costos'!C46</f>
        <v>1586476.2449861183</v>
      </c>
      <c r="M49" s="57">
        <f>(M44+M47+M53)*$D$49+'Otros gastos y costos'!$C$43+'Otros gastos y costos'!C46</f>
        <v>1596315.2538058409</v>
      </c>
      <c r="N49" s="57">
        <f>(N44+N47+N53)*$D$49+'Otros gastos y costos'!$C$43+'Otros gastos y costos'!C46</f>
        <v>1590087.6588019575</v>
      </c>
      <c r="O49" s="57">
        <f>(O44+O47+O53)*$D$49+'Otros gastos y costos'!$C$43+'Otros gastos y costos'!C46</f>
        <v>1588167.1358979966</v>
      </c>
      <c r="P49" s="57">
        <f>(P44+P47+P53)*$D$49+'Otros gastos y costos'!$C$43+'Otros gastos y costos'!C46</f>
        <v>1597411.7625359567</v>
      </c>
    </row>
    <row r="50" spans="1:17" x14ac:dyDescent="0.2">
      <c r="E50" s="53"/>
      <c r="F50" s="53"/>
      <c r="G50" s="53"/>
      <c r="H50" s="53"/>
      <c r="I50" s="53"/>
      <c r="J50" s="53"/>
      <c r="K50" s="53"/>
      <c r="L50" s="53"/>
      <c r="M50" s="53"/>
    </row>
    <row r="51" spans="1:17" x14ac:dyDescent="0.2">
      <c r="B51" s="49" t="s">
        <v>137</v>
      </c>
      <c r="C51" s="51"/>
      <c r="D51" s="51"/>
      <c r="E51" s="55">
        <v>45322</v>
      </c>
      <c r="F51" s="55">
        <v>45351</v>
      </c>
      <c r="G51" s="55">
        <v>45382</v>
      </c>
      <c r="H51" s="55">
        <v>45412</v>
      </c>
      <c r="I51" s="55">
        <v>45443</v>
      </c>
      <c r="J51" s="55">
        <v>45473</v>
      </c>
      <c r="K51" s="55">
        <v>45504</v>
      </c>
      <c r="L51" s="55">
        <v>45535</v>
      </c>
      <c r="M51" s="55">
        <v>45565</v>
      </c>
      <c r="N51" s="55">
        <v>45596</v>
      </c>
      <c r="O51" s="55">
        <v>45626</v>
      </c>
      <c r="P51" s="55">
        <v>45657</v>
      </c>
    </row>
    <row r="52" spans="1:17" x14ac:dyDescent="0.2">
      <c r="B52" s="56" t="s">
        <v>44</v>
      </c>
      <c r="C52" s="57"/>
      <c r="D52" s="64"/>
      <c r="E52" s="57">
        <f>'Mano de obra'!E24</f>
        <v>770960.4</v>
      </c>
      <c r="F52" s="57">
        <f>$E$52</f>
        <v>770960.4</v>
      </c>
      <c r="G52" s="57">
        <f t="shared" ref="G52:P52" si="23">$E$52</f>
        <v>770960.4</v>
      </c>
      <c r="H52" s="57">
        <f t="shared" si="23"/>
        <v>770960.4</v>
      </c>
      <c r="I52" s="57">
        <f t="shared" si="23"/>
        <v>770960.4</v>
      </c>
      <c r="J52" s="57">
        <f t="shared" si="23"/>
        <v>770960.4</v>
      </c>
      <c r="K52" s="57">
        <f t="shared" si="23"/>
        <v>770960.4</v>
      </c>
      <c r="L52" s="57">
        <f t="shared" si="23"/>
        <v>770960.4</v>
      </c>
      <c r="M52" s="57">
        <f t="shared" si="23"/>
        <v>770960.4</v>
      </c>
      <c r="N52" s="57">
        <f t="shared" si="23"/>
        <v>770960.4</v>
      </c>
      <c r="O52" s="57">
        <f t="shared" si="23"/>
        <v>770960.4</v>
      </c>
      <c r="P52" s="57">
        <f t="shared" si="23"/>
        <v>770960.4</v>
      </c>
    </row>
    <row r="53" spans="1:17" x14ac:dyDescent="0.2">
      <c r="E53" s="117">
        <f t="shared" ref="E53:P53" si="24">SUM(E52:E52)</f>
        <v>770960.4</v>
      </c>
      <c r="F53" s="59">
        <f t="shared" si="24"/>
        <v>770960.4</v>
      </c>
      <c r="G53" s="59">
        <f t="shared" si="24"/>
        <v>770960.4</v>
      </c>
      <c r="H53" s="59">
        <f t="shared" si="24"/>
        <v>770960.4</v>
      </c>
      <c r="I53" s="59">
        <f t="shared" si="24"/>
        <v>770960.4</v>
      </c>
      <c r="J53" s="59">
        <f t="shared" si="24"/>
        <v>770960.4</v>
      </c>
      <c r="K53" s="59">
        <f t="shared" si="24"/>
        <v>770960.4</v>
      </c>
      <c r="L53" s="59">
        <f t="shared" si="24"/>
        <v>770960.4</v>
      </c>
      <c r="M53" s="59">
        <f t="shared" si="24"/>
        <v>770960.4</v>
      </c>
      <c r="N53" s="59">
        <f t="shared" si="24"/>
        <v>770960.4</v>
      </c>
      <c r="O53" s="59">
        <f t="shared" si="24"/>
        <v>770960.4</v>
      </c>
      <c r="P53" s="59">
        <f t="shared" si="24"/>
        <v>770960.4</v>
      </c>
      <c r="Q53" s="35"/>
    </row>
    <row r="54" spans="1:17" x14ac:dyDescent="0.2">
      <c r="E54" s="53"/>
      <c r="F54" s="53"/>
      <c r="G54" s="53"/>
      <c r="H54" s="53"/>
      <c r="I54" s="53"/>
      <c r="J54" s="53"/>
      <c r="K54" s="53"/>
      <c r="L54" s="53"/>
      <c r="M54" s="53"/>
    </row>
    <row r="55" spans="1:17" x14ac:dyDescent="0.2">
      <c r="E55" s="53"/>
      <c r="F55" s="53"/>
      <c r="G55" s="53"/>
      <c r="H55" s="53"/>
      <c r="I55" s="53"/>
      <c r="J55" s="53"/>
      <c r="K55" s="53"/>
      <c r="L55" s="53"/>
      <c r="M55" s="53"/>
    </row>
    <row r="56" spans="1:17" s="36" customFormat="1" ht="34.5" customHeight="1" x14ac:dyDescent="0.2">
      <c r="B56" s="65" t="s">
        <v>143</v>
      </c>
      <c r="C56" s="8"/>
      <c r="D56" s="66">
        <f>SUM(E56:P56)</f>
        <v>68990866.266712546</v>
      </c>
      <c r="E56" s="67">
        <f>E53+E49+E47+E44+E40</f>
        <v>5683678.2039999999</v>
      </c>
      <c r="F56" s="67">
        <f t="shared" ref="F56:P56" si="25">F53+F49+F47+F44+F40</f>
        <v>5898908.6439999994</v>
      </c>
      <c r="G56" s="67">
        <f t="shared" si="25"/>
        <v>5815396.2687999997</v>
      </c>
      <c r="H56" s="67">
        <f t="shared" si="25"/>
        <v>5396863.9540959997</v>
      </c>
      <c r="I56" s="67">
        <f t="shared" si="25"/>
        <v>5951005.9090979202</v>
      </c>
      <c r="J56" s="67">
        <f t="shared" si="25"/>
        <v>5483543.6791998781</v>
      </c>
      <c r="K56" s="67">
        <f t="shared" si="25"/>
        <v>5338955.9487038758</v>
      </c>
      <c r="L56" s="67">
        <f t="shared" si="25"/>
        <v>5357750.7435979536</v>
      </c>
      <c r="M56" s="67">
        <f t="shared" si="25"/>
        <v>6351490.6343899127</v>
      </c>
      <c r="N56" s="67">
        <f t="shared" si="25"/>
        <v>5722503.5389977107</v>
      </c>
      <c r="O56" s="67">
        <f t="shared" si="25"/>
        <v>5528530.7256976645</v>
      </c>
      <c r="P56" s="67">
        <f t="shared" si="25"/>
        <v>6462238.0161316181</v>
      </c>
    </row>
    <row r="57" spans="1:17" ht="16" thickBot="1" x14ac:dyDescent="0.25">
      <c r="A57" s="37"/>
    </row>
    <row r="58" spans="1:17" ht="16" thickBot="1" x14ac:dyDescent="0.25">
      <c r="A58" s="10"/>
      <c r="B58" s="188" t="s">
        <v>138</v>
      </c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90"/>
    </row>
    <row r="60" spans="1:17" ht="16" x14ac:dyDescent="0.2">
      <c r="B60" s="49" t="s">
        <v>123</v>
      </c>
      <c r="C60" s="51"/>
      <c r="D60" s="54" t="s">
        <v>133</v>
      </c>
      <c r="E60" s="55">
        <v>45688</v>
      </c>
      <c r="F60" s="55">
        <v>45716</v>
      </c>
      <c r="G60" s="55">
        <v>45747</v>
      </c>
      <c r="H60" s="55">
        <v>45777</v>
      </c>
      <c r="I60" s="55">
        <v>45808</v>
      </c>
      <c r="J60" s="55">
        <v>45838</v>
      </c>
      <c r="K60" s="55">
        <v>45869</v>
      </c>
      <c r="L60" s="55">
        <v>45900</v>
      </c>
      <c r="M60" s="55">
        <v>45930</v>
      </c>
      <c r="N60" s="55">
        <v>45961</v>
      </c>
      <c r="O60" s="55">
        <v>45991</v>
      </c>
      <c r="P60" s="55">
        <v>46022</v>
      </c>
    </row>
    <row r="61" spans="1:17" x14ac:dyDescent="0.2">
      <c r="B61" s="56" t="s">
        <v>70</v>
      </c>
      <c r="C61" s="57"/>
      <c r="D61" s="58">
        <f>'Inversiones iniciales'!F6</f>
        <v>5.7938718662952646E-3</v>
      </c>
      <c r="E61" s="57">
        <f>+$D61*F$13</f>
        <v>433.33333333333337</v>
      </c>
      <c r="F61" s="57">
        <f t="shared" ref="F61:P61" si="26">+$D61*G$13</f>
        <v>433.33333333333337</v>
      </c>
      <c r="G61" s="57">
        <f t="shared" si="26"/>
        <v>433.33333333333337</v>
      </c>
      <c r="H61" s="57">
        <f t="shared" si="26"/>
        <v>433.33333333333337</v>
      </c>
      <c r="I61" s="57">
        <f t="shared" si="26"/>
        <v>433.33333333333337</v>
      </c>
      <c r="J61" s="57">
        <f t="shared" si="26"/>
        <v>433.33333333333337</v>
      </c>
      <c r="K61" s="57">
        <f t="shared" si="26"/>
        <v>433.33333333333337</v>
      </c>
      <c r="L61" s="57">
        <f t="shared" si="26"/>
        <v>433.33333333333337</v>
      </c>
      <c r="M61" s="57">
        <f t="shared" si="26"/>
        <v>433.33333333333337</v>
      </c>
      <c r="N61" s="57">
        <f t="shared" si="26"/>
        <v>433.33333333333337</v>
      </c>
      <c r="O61" s="57">
        <f t="shared" si="26"/>
        <v>433.33333333333337</v>
      </c>
      <c r="P61" s="57">
        <f t="shared" si="26"/>
        <v>433.33333333333337</v>
      </c>
    </row>
    <row r="62" spans="1:17" x14ac:dyDescent="0.2">
      <c r="B62" s="56" t="s">
        <v>68</v>
      </c>
      <c r="C62" s="57"/>
      <c r="D62" s="58">
        <f>'Inversiones iniciales'!F4</f>
        <v>0.16666666666666666</v>
      </c>
      <c r="E62" s="57">
        <f t="shared" ref="E62:P62" si="27">$D$62*$F$18</f>
        <v>12500</v>
      </c>
      <c r="F62" s="57">
        <f t="shared" si="27"/>
        <v>12500</v>
      </c>
      <c r="G62" s="57">
        <f t="shared" si="27"/>
        <v>12500</v>
      </c>
      <c r="H62" s="57">
        <f t="shared" si="27"/>
        <v>12500</v>
      </c>
      <c r="I62" s="57">
        <f t="shared" si="27"/>
        <v>12500</v>
      </c>
      <c r="J62" s="57">
        <f t="shared" si="27"/>
        <v>12500</v>
      </c>
      <c r="K62" s="57">
        <f t="shared" si="27"/>
        <v>12500</v>
      </c>
      <c r="L62" s="57">
        <f t="shared" si="27"/>
        <v>12500</v>
      </c>
      <c r="M62" s="57">
        <f t="shared" si="27"/>
        <v>12500</v>
      </c>
      <c r="N62" s="57">
        <f t="shared" si="27"/>
        <v>12500</v>
      </c>
      <c r="O62" s="57">
        <f t="shared" si="27"/>
        <v>12500</v>
      </c>
      <c r="P62" s="57">
        <f t="shared" si="27"/>
        <v>12500</v>
      </c>
    </row>
    <row r="63" spans="1:17" x14ac:dyDescent="0.2">
      <c r="B63" s="56" t="s">
        <v>122</v>
      </c>
      <c r="C63" s="57"/>
      <c r="D63" s="58">
        <f>'Inversiones iniciales'!F5</f>
        <v>0.37705592105263158</v>
      </c>
      <c r="E63" s="57">
        <f t="shared" ref="E63:P63" si="28">+$D$63*F23</f>
        <v>76416.666666666657</v>
      </c>
      <c r="F63" s="57">
        <f t="shared" si="28"/>
        <v>76416.666666666657</v>
      </c>
      <c r="G63" s="57">
        <f t="shared" si="28"/>
        <v>76416.666666666657</v>
      </c>
      <c r="H63" s="57">
        <f t="shared" si="28"/>
        <v>76416.666666666657</v>
      </c>
      <c r="I63" s="57">
        <f t="shared" si="28"/>
        <v>76416.666666666657</v>
      </c>
      <c r="J63" s="57">
        <f t="shared" si="28"/>
        <v>76416.666666666657</v>
      </c>
      <c r="K63" s="57">
        <f t="shared" si="28"/>
        <v>76416.666666666657</v>
      </c>
      <c r="L63" s="57">
        <f t="shared" si="28"/>
        <v>76416.666666666657</v>
      </c>
      <c r="M63" s="57">
        <f t="shared" si="28"/>
        <v>76416.666666666657</v>
      </c>
      <c r="N63" s="57">
        <f t="shared" si="28"/>
        <v>76416.666666666657</v>
      </c>
      <c r="O63" s="57">
        <f t="shared" si="28"/>
        <v>76416.666666666657</v>
      </c>
      <c r="P63" s="57">
        <f t="shared" si="28"/>
        <v>76416.666666666657</v>
      </c>
    </row>
    <row r="64" spans="1:17" x14ac:dyDescent="0.2">
      <c r="B64" s="56" t="s">
        <v>71</v>
      </c>
      <c r="C64" s="57"/>
      <c r="D64" s="58">
        <f>'Inversiones iniciales'!F7</f>
        <v>8.8819226750261243E-2</v>
      </c>
      <c r="E64" s="57">
        <f t="shared" ref="E64:P64" si="29">+$D$64*F28</f>
        <v>7083.3333333333339</v>
      </c>
      <c r="F64" s="57">
        <f t="shared" si="29"/>
        <v>7083.3333333333339</v>
      </c>
      <c r="G64" s="57">
        <f t="shared" si="29"/>
        <v>7083.3333333333339</v>
      </c>
      <c r="H64" s="57">
        <f t="shared" si="29"/>
        <v>7083.3333333333339</v>
      </c>
      <c r="I64" s="57">
        <f t="shared" si="29"/>
        <v>7083.3333333333339</v>
      </c>
      <c r="J64" s="57">
        <f t="shared" si="29"/>
        <v>7083.3333333333339</v>
      </c>
      <c r="K64" s="57">
        <f t="shared" si="29"/>
        <v>7083.3333333333339</v>
      </c>
      <c r="L64" s="57">
        <f t="shared" si="29"/>
        <v>7083.3333333333339</v>
      </c>
      <c r="M64" s="57">
        <f t="shared" si="29"/>
        <v>7083.3333333333339</v>
      </c>
      <c r="N64" s="57">
        <f t="shared" si="29"/>
        <v>7083.3333333333339</v>
      </c>
      <c r="O64" s="57">
        <f t="shared" si="29"/>
        <v>7083.3333333333339</v>
      </c>
      <c r="P64" s="57">
        <f t="shared" si="29"/>
        <v>7083.3333333333339</v>
      </c>
    </row>
    <row r="65" spans="2:16" x14ac:dyDescent="0.2">
      <c r="B65" s="68"/>
      <c r="C65" s="68"/>
      <c r="D65" s="68"/>
      <c r="E65" s="117">
        <f t="shared" ref="E65:P65" si="30">SUM(E61:E64)</f>
        <v>96433.333333333314</v>
      </c>
      <c r="F65" s="59">
        <f t="shared" si="30"/>
        <v>96433.333333333314</v>
      </c>
      <c r="G65" s="59">
        <f t="shared" si="30"/>
        <v>96433.333333333314</v>
      </c>
      <c r="H65" s="59">
        <f t="shared" si="30"/>
        <v>96433.333333333314</v>
      </c>
      <c r="I65" s="59">
        <f t="shared" si="30"/>
        <v>96433.333333333314</v>
      </c>
      <c r="J65" s="59">
        <f t="shared" si="30"/>
        <v>96433.333333333314</v>
      </c>
      <c r="K65" s="59">
        <f t="shared" si="30"/>
        <v>96433.333333333314</v>
      </c>
      <c r="L65" s="59">
        <f t="shared" si="30"/>
        <v>96433.333333333314</v>
      </c>
      <c r="M65" s="59">
        <f t="shared" si="30"/>
        <v>96433.333333333314</v>
      </c>
      <c r="N65" s="59">
        <f t="shared" si="30"/>
        <v>96433.333333333314</v>
      </c>
      <c r="O65" s="59">
        <f t="shared" si="30"/>
        <v>96433.333333333314</v>
      </c>
      <c r="P65" s="59">
        <f t="shared" si="30"/>
        <v>96433.333333333314</v>
      </c>
    </row>
    <row r="66" spans="2:16" x14ac:dyDescent="0.2"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</row>
    <row r="67" spans="2:16" x14ac:dyDescent="0.2">
      <c r="E67" s="53"/>
      <c r="F67" s="53"/>
      <c r="G67" s="53"/>
      <c r="H67" s="53"/>
      <c r="I67" s="53"/>
      <c r="J67" s="53"/>
      <c r="K67" s="53"/>
      <c r="L67" s="53"/>
      <c r="M67" s="53"/>
    </row>
    <row r="68" spans="2:16" x14ac:dyDescent="0.2">
      <c r="B68" s="69" t="s">
        <v>134</v>
      </c>
      <c r="C68" s="62">
        <f>C43</f>
        <v>1350000</v>
      </c>
      <c r="D68" s="58">
        <v>0.02</v>
      </c>
      <c r="E68" s="62">
        <f>C68*(1+$D$43)</f>
        <v>1377000</v>
      </c>
      <c r="F68" s="62">
        <f>E68*(1+$D$43)</f>
        <v>1404540</v>
      </c>
      <c r="G68" s="62">
        <f>F68*(1+$D$43)</f>
        <v>1432630.8</v>
      </c>
      <c r="H68" s="62">
        <f t="shared" ref="H68:P68" si="31">G68*(1+$D$43)</f>
        <v>1461283.416</v>
      </c>
      <c r="I68" s="62">
        <f t="shared" si="31"/>
        <v>1490509.0843199999</v>
      </c>
      <c r="J68" s="62">
        <f t="shared" si="31"/>
        <v>1520319.2660063999</v>
      </c>
      <c r="K68" s="62">
        <f t="shared" si="31"/>
        <v>1550725.6513265278</v>
      </c>
      <c r="L68" s="62">
        <f t="shared" si="31"/>
        <v>1581740.1643530584</v>
      </c>
      <c r="M68" s="62">
        <f t="shared" si="31"/>
        <v>1613374.9676401196</v>
      </c>
      <c r="N68" s="62">
        <f t="shared" si="31"/>
        <v>1645642.4669929221</v>
      </c>
      <c r="O68" s="62">
        <f t="shared" si="31"/>
        <v>1678555.3163327805</v>
      </c>
      <c r="P68" s="62">
        <f t="shared" si="31"/>
        <v>1712126.4226594362</v>
      </c>
    </row>
    <row r="69" spans="2:16" x14ac:dyDescent="0.2">
      <c r="B69" s="69" t="s">
        <v>373</v>
      </c>
      <c r="C69" s="57"/>
      <c r="D69" s="58">
        <v>0.1</v>
      </c>
      <c r="E69" s="57">
        <f>E68*$D$69</f>
        <v>137700</v>
      </c>
      <c r="F69" s="57">
        <f>F68*$D$69</f>
        <v>140454</v>
      </c>
      <c r="G69" s="57">
        <f t="shared" ref="G69:P69" si="32">G68*$D$69</f>
        <v>143263.08000000002</v>
      </c>
      <c r="H69" s="57">
        <f t="shared" si="32"/>
        <v>146128.34160000001</v>
      </c>
      <c r="I69" s="57">
        <f t="shared" si="32"/>
        <v>149050.908432</v>
      </c>
      <c r="J69" s="57">
        <f t="shared" si="32"/>
        <v>152031.92660064</v>
      </c>
      <c r="K69" s="57">
        <f t="shared" si="32"/>
        <v>155072.56513265279</v>
      </c>
      <c r="L69" s="57">
        <f t="shared" si="32"/>
        <v>158174.01643530585</v>
      </c>
      <c r="M69" s="57">
        <f t="shared" si="32"/>
        <v>161337.49676401197</v>
      </c>
      <c r="N69" s="57">
        <f t="shared" si="32"/>
        <v>164564.24669929221</v>
      </c>
      <c r="O69" s="57">
        <f t="shared" si="32"/>
        <v>167855.53163327806</v>
      </c>
      <c r="P69" s="57">
        <f t="shared" si="32"/>
        <v>171212.64226594364</v>
      </c>
    </row>
    <row r="70" spans="2:16" x14ac:dyDescent="0.2">
      <c r="E70" s="53"/>
      <c r="F70" s="53"/>
      <c r="G70" s="53"/>
      <c r="H70" s="53"/>
      <c r="I70" s="53"/>
      <c r="J70" s="53"/>
      <c r="K70" s="53"/>
      <c r="L70" s="53"/>
      <c r="M70" s="53"/>
    </row>
    <row r="71" spans="2:16" x14ac:dyDescent="0.2">
      <c r="B71" s="49" t="s">
        <v>136</v>
      </c>
      <c r="C71" s="2"/>
      <c r="D71" s="111">
        <v>0.01</v>
      </c>
      <c r="E71" s="57">
        <f>(E69+E77)*$D$71+'Otros gastos y costos'!C4+'Otros gastos y costos'!C22</f>
        <v>4595466.0736560002</v>
      </c>
      <c r="F71" s="57">
        <f>(F69+F77)*$D$71+'Otros gastos y costos'!$C$12+'Otros gastos y costos'!$C$15+'Otros gastos y costos'!C22</f>
        <v>1676135.413656</v>
      </c>
      <c r="G71" s="57">
        <f>(G69+G77)*$D$71+'Otros gastos y costos'!$C$12+'Otros gastos y costos'!$C$15+'Otros gastos y costos'!C22</f>
        <v>1676163.5044559999</v>
      </c>
      <c r="H71" s="57">
        <f>(H69+H77)*$D$71+'Otros gastos y costos'!$C$12+'Otros gastos y costos'!$C$15+'Otros gastos y costos'!C22</f>
        <v>1676192.157072</v>
      </c>
      <c r="I71" s="57">
        <f>(I69+I77)*$D$71+'Otros gastos y costos'!$C$12+'Otros gastos y costos'!$C$15+'Otros gastos y costos'!C22</f>
        <v>1676221.3827403199</v>
      </c>
      <c r="J71" s="57">
        <f>(J69+J77)*$D$71+'Otros gastos y costos'!$C$12+'Otros gastos y costos'!$C$15+'Otros gastos y costos'!C22</f>
        <v>1676251.1929220064</v>
      </c>
      <c r="K71" s="57">
        <f>(K69+K77)*$D$71+'Otros gastos y costos'!$C$12+'Otros gastos y costos'!$C$15+'Otros gastos y costos'!C22</f>
        <v>1676281.5993073266</v>
      </c>
      <c r="L71" s="57">
        <f>(L69+L77)*$D$71+'Otros gastos y costos'!$C$12+'Otros gastos y costos'!$C$15+'Otros gastos y costos'!C22</f>
        <v>1676312.6138203531</v>
      </c>
      <c r="M71" s="57">
        <f>(M69+M77)*$D$71+'Otros gastos y costos'!$C$12+'Otros gastos y costos'!$C$15+'Otros gastos y costos'!C22</f>
        <v>1676344.24862364</v>
      </c>
      <c r="N71" s="57">
        <f>(N69+N77)*$D$71+'Otros gastos y costos'!$C$12+'Otros gastos y costos'!$C$15+'Otros gastos y costos'!C22</f>
        <v>1676376.5161229928</v>
      </c>
      <c r="O71" s="57">
        <f>(O69+O77)*$D$71+'Otros gastos y costos'!$C$12+'Otros gastos y costos'!$C$15+'Otros gastos y costos'!C22</f>
        <v>1676409.4289723327</v>
      </c>
      <c r="P71" s="57">
        <f>(P69+P77)*$D$71+'Otros gastos y costos'!$C$12+'Otros gastos y costos'!$C$15+'Otros gastos y costos'!C22</f>
        <v>1676443.0000786595</v>
      </c>
    </row>
    <row r="72" spans="2:16" x14ac:dyDescent="0.2">
      <c r="E72" s="53"/>
      <c r="F72" s="53"/>
      <c r="G72" s="53"/>
      <c r="H72" s="53"/>
      <c r="I72" s="53"/>
      <c r="J72" s="53"/>
      <c r="K72" s="53"/>
      <c r="L72" s="53"/>
      <c r="M72" s="53"/>
    </row>
    <row r="73" spans="2:16" x14ac:dyDescent="0.2">
      <c r="B73" s="49" t="s">
        <v>139</v>
      </c>
      <c r="C73" s="51"/>
      <c r="D73" s="51"/>
      <c r="E73" s="55">
        <v>45322</v>
      </c>
      <c r="F73" s="55">
        <v>45351</v>
      </c>
      <c r="G73" s="55">
        <v>45382</v>
      </c>
      <c r="H73" s="55">
        <v>45412</v>
      </c>
      <c r="I73" s="55">
        <v>45443</v>
      </c>
      <c r="J73" s="55">
        <v>45473</v>
      </c>
      <c r="K73" s="55">
        <v>45504</v>
      </c>
      <c r="L73" s="55">
        <v>45535</v>
      </c>
      <c r="M73" s="55">
        <v>45565</v>
      </c>
      <c r="N73" s="55">
        <v>45596</v>
      </c>
      <c r="O73" s="55">
        <v>45626</v>
      </c>
      <c r="P73" s="55">
        <v>45657</v>
      </c>
    </row>
    <row r="74" spans="2:16" x14ac:dyDescent="0.2">
      <c r="B74" s="56" t="s">
        <v>44</v>
      </c>
      <c r="C74" s="57"/>
      <c r="D74" s="64"/>
      <c r="E74" s="57">
        <f>'Mano de obra'!$E$13</f>
        <v>3597815.1999999997</v>
      </c>
      <c r="F74" s="57">
        <f>'Mano de obra'!$E$13</f>
        <v>3597815.1999999997</v>
      </c>
      <c r="G74" s="57">
        <f>'Mano de obra'!$E$13</f>
        <v>3597815.1999999997</v>
      </c>
      <c r="H74" s="57">
        <f>'Mano de obra'!$E$13</f>
        <v>3597815.1999999997</v>
      </c>
      <c r="I74" s="57">
        <f>'Mano de obra'!$E$13</f>
        <v>3597815.1999999997</v>
      </c>
      <c r="J74" s="57">
        <f>'Mano de obra'!$E$13</f>
        <v>3597815.1999999997</v>
      </c>
      <c r="K74" s="57">
        <f>'Mano de obra'!$E$13</f>
        <v>3597815.1999999997</v>
      </c>
      <c r="L74" s="57">
        <f>'Mano de obra'!$E$13</f>
        <v>3597815.1999999997</v>
      </c>
      <c r="M74" s="57">
        <f>'Mano de obra'!$E$13</f>
        <v>3597815.1999999997</v>
      </c>
      <c r="N74" s="57">
        <f>'Mano de obra'!$E$13</f>
        <v>3597815.1999999997</v>
      </c>
      <c r="O74" s="57">
        <f>'Mano de obra'!$E$13</f>
        <v>3597815.1999999997</v>
      </c>
      <c r="P74" s="57">
        <f>'Mano de obra'!$E$13</f>
        <v>3597815.1999999997</v>
      </c>
    </row>
    <row r="75" spans="2:16" x14ac:dyDescent="0.2">
      <c r="B75" s="56" t="s">
        <v>49</v>
      </c>
      <c r="C75" s="57"/>
      <c r="D75" s="64"/>
      <c r="E75" s="57">
        <f>'Mano de obra'!$E$14</f>
        <v>2936992</v>
      </c>
      <c r="F75" s="57">
        <f>'Mano de obra'!$E$14</f>
        <v>2936992</v>
      </c>
      <c r="G75" s="57">
        <f>'Mano de obra'!$E$14</f>
        <v>2936992</v>
      </c>
      <c r="H75" s="57">
        <f>'Mano de obra'!$E$14</f>
        <v>2936992</v>
      </c>
      <c r="I75" s="57">
        <f>'Mano de obra'!$E$14</f>
        <v>2936992</v>
      </c>
      <c r="J75" s="57">
        <f>'Mano de obra'!$E$14</f>
        <v>2936992</v>
      </c>
      <c r="K75" s="57">
        <f>'Mano de obra'!$E$14</f>
        <v>2936992</v>
      </c>
      <c r="L75" s="57">
        <f>'Mano de obra'!$E$14</f>
        <v>2936992</v>
      </c>
      <c r="M75" s="57">
        <f>'Mano de obra'!$E$14</f>
        <v>2936992</v>
      </c>
      <c r="N75" s="57">
        <f>'Mano de obra'!$E$14</f>
        <v>2936992</v>
      </c>
      <c r="O75" s="57">
        <f>'Mano de obra'!$E$14</f>
        <v>2936992</v>
      </c>
      <c r="P75" s="57">
        <f>'Mano de obra'!$E$14</f>
        <v>2936992</v>
      </c>
    </row>
    <row r="76" spans="2:16" x14ac:dyDescent="0.2">
      <c r="B76" s="56" t="s">
        <v>53</v>
      </c>
      <c r="C76" s="57"/>
      <c r="D76" s="58"/>
      <c r="E76" s="57">
        <f>'Mano de obra'!$E$15</f>
        <v>938280.16560000007</v>
      </c>
      <c r="F76" s="57">
        <f>'Mano de obra'!$E$15</f>
        <v>938280.16560000007</v>
      </c>
      <c r="G76" s="57">
        <f>'Mano de obra'!$E$15</f>
        <v>938280.16560000007</v>
      </c>
      <c r="H76" s="57">
        <f>'Mano de obra'!$E$15</f>
        <v>938280.16560000007</v>
      </c>
      <c r="I76" s="57">
        <f>'Mano de obra'!$E$15</f>
        <v>938280.16560000007</v>
      </c>
      <c r="J76" s="57">
        <f>'Mano de obra'!$E$15</f>
        <v>938280.16560000007</v>
      </c>
      <c r="K76" s="57">
        <f>'Mano de obra'!$E$15</f>
        <v>938280.16560000007</v>
      </c>
      <c r="L76" s="57">
        <f>'Mano de obra'!$E$15</f>
        <v>938280.16560000007</v>
      </c>
      <c r="M76" s="57">
        <f>'Mano de obra'!$E$15</f>
        <v>938280.16560000007</v>
      </c>
      <c r="N76" s="57">
        <f>'Mano de obra'!$E$15</f>
        <v>938280.16560000007</v>
      </c>
      <c r="O76" s="57">
        <f>'Mano de obra'!$E$15</f>
        <v>938280.16560000007</v>
      </c>
      <c r="P76" s="57">
        <f>'Mano de obra'!$E$15</f>
        <v>938280.16560000007</v>
      </c>
    </row>
    <row r="77" spans="2:16" x14ac:dyDescent="0.2">
      <c r="B77" s="70"/>
      <c r="E77" s="117">
        <f t="shared" ref="E77:P77" si="33">SUM(E74:E76)</f>
        <v>7473087.3655999992</v>
      </c>
      <c r="F77" s="59">
        <f t="shared" si="33"/>
        <v>7473087.3655999992</v>
      </c>
      <c r="G77" s="59">
        <f t="shared" si="33"/>
        <v>7473087.3655999992</v>
      </c>
      <c r="H77" s="59">
        <f t="shared" si="33"/>
        <v>7473087.3655999992</v>
      </c>
      <c r="I77" s="59">
        <f t="shared" si="33"/>
        <v>7473087.3655999992</v>
      </c>
      <c r="J77" s="59">
        <f t="shared" si="33"/>
        <v>7473087.3655999992</v>
      </c>
      <c r="K77" s="59">
        <f t="shared" si="33"/>
        <v>7473087.3655999992</v>
      </c>
      <c r="L77" s="59">
        <f t="shared" si="33"/>
        <v>7473087.3655999992</v>
      </c>
      <c r="M77" s="59">
        <f t="shared" si="33"/>
        <v>7473087.3655999992</v>
      </c>
      <c r="N77" s="59">
        <f t="shared" si="33"/>
        <v>7473087.3655999992</v>
      </c>
      <c r="O77" s="59">
        <f t="shared" si="33"/>
        <v>7473087.3655999992</v>
      </c>
      <c r="P77" s="59">
        <f t="shared" si="33"/>
        <v>7473087.3655999992</v>
      </c>
    </row>
    <row r="80" spans="2:16" s="36" customFormat="1" ht="34.5" customHeight="1" x14ac:dyDescent="0.2">
      <c r="B80" s="65" t="s">
        <v>142</v>
      </c>
      <c r="C80" s="8"/>
      <c r="D80" s="66">
        <f>SUM(E80:P80)</f>
        <v>115715690.27419072</v>
      </c>
      <c r="E80" s="110">
        <f>E77+E69+E65+E71</f>
        <v>12302686.772589333</v>
      </c>
      <c r="F80" s="110">
        <f t="shared" ref="F80:P80" si="34">F77+F69+F65+F71</f>
        <v>9386110.1125893332</v>
      </c>
      <c r="G80" s="110">
        <f t="shared" si="34"/>
        <v>9388947.2833893318</v>
      </c>
      <c r="H80" s="110">
        <f t="shared" si="34"/>
        <v>9391841.1976053324</v>
      </c>
      <c r="I80" s="110">
        <f t="shared" si="34"/>
        <v>9394792.9901056532</v>
      </c>
      <c r="J80" s="110">
        <f t="shared" si="34"/>
        <v>9397803.8184559792</v>
      </c>
      <c r="K80" s="110">
        <f t="shared" si="34"/>
        <v>9400874.8633733112</v>
      </c>
      <c r="L80" s="110">
        <f t="shared" si="34"/>
        <v>9404007.3291889913</v>
      </c>
      <c r="M80" s="110">
        <f t="shared" si="34"/>
        <v>9407202.4443209842</v>
      </c>
      <c r="N80" s="110">
        <f t="shared" si="34"/>
        <v>9410461.4617556166</v>
      </c>
      <c r="O80" s="110">
        <f t="shared" si="34"/>
        <v>9413785.6595389433</v>
      </c>
      <c r="P80" s="110">
        <f t="shared" si="34"/>
        <v>9417176.3412779346</v>
      </c>
    </row>
    <row r="81" spans="1:16" ht="16" thickBot="1" x14ac:dyDescent="0.25"/>
    <row r="82" spans="1:16" ht="16" thickBot="1" x14ac:dyDescent="0.25">
      <c r="A82" s="10"/>
      <c r="B82" s="188" t="s">
        <v>140</v>
      </c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90"/>
    </row>
    <row r="84" spans="1:16" ht="16" x14ac:dyDescent="0.2">
      <c r="B84" s="49" t="s">
        <v>123</v>
      </c>
      <c r="C84" s="51"/>
      <c r="D84" s="54" t="s">
        <v>133</v>
      </c>
      <c r="E84" s="55">
        <v>45688</v>
      </c>
      <c r="F84" s="55">
        <v>45716</v>
      </c>
      <c r="G84" s="55">
        <v>45747</v>
      </c>
      <c r="H84" s="55">
        <v>45777</v>
      </c>
      <c r="I84" s="55">
        <v>45808</v>
      </c>
      <c r="J84" s="55">
        <v>45838</v>
      </c>
      <c r="K84" s="55">
        <v>45869</v>
      </c>
      <c r="L84" s="55">
        <v>45900</v>
      </c>
      <c r="M84" s="55">
        <v>45930</v>
      </c>
      <c r="N84" s="55">
        <v>45961</v>
      </c>
      <c r="O84" s="55">
        <v>45991</v>
      </c>
      <c r="P84" s="55">
        <v>46022</v>
      </c>
    </row>
    <row r="85" spans="1:16" x14ac:dyDescent="0.2">
      <c r="B85" s="56" t="s">
        <v>70</v>
      </c>
      <c r="C85" s="57"/>
      <c r="D85" s="58">
        <f>'Inversiones iniciales'!G6</f>
        <v>0.2467966573816156</v>
      </c>
      <c r="E85" s="57">
        <f t="shared" ref="E85:P85" si="35">$D$85*$F$13</f>
        <v>18458.333333333336</v>
      </c>
      <c r="F85" s="57">
        <f t="shared" si="35"/>
        <v>18458.333333333336</v>
      </c>
      <c r="G85" s="57">
        <f t="shared" si="35"/>
        <v>18458.333333333336</v>
      </c>
      <c r="H85" s="57">
        <f t="shared" si="35"/>
        <v>18458.333333333336</v>
      </c>
      <c r="I85" s="57">
        <f t="shared" si="35"/>
        <v>18458.333333333336</v>
      </c>
      <c r="J85" s="57">
        <f t="shared" si="35"/>
        <v>18458.333333333336</v>
      </c>
      <c r="K85" s="57">
        <f t="shared" si="35"/>
        <v>18458.333333333336</v>
      </c>
      <c r="L85" s="57">
        <f t="shared" si="35"/>
        <v>18458.333333333336</v>
      </c>
      <c r="M85" s="57">
        <f t="shared" si="35"/>
        <v>18458.333333333336</v>
      </c>
      <c r="N85" s="57">
        <f t="shared" si="35"/>
        <v>18458.333333333336</v>
      </c>
      <c r="O85" s="57">
        <f t="shared" si="35"/>
        <v>18458.333333333336</v>
      </c>
      <c r="P85" s="57">
        <f t="shared" si="35"/>
        <v>18458.333333333336</v>
      </c>
    </row>
    <row r="86" spans="1:16" x14ac:dyDescent="0.2">
      <c r="B86" s="56" t="s">
        <v>68</v>
      </c>
      <c r="C86" s="57"/>
      <c r="D86" s="58">
        <f>'Inversiones iniciales'!G4</f>
        <v>0.3888888888888889</v>
      </c>
      <c r="E86" s="57">
        <f t="shared" ref="E86:P86" si="36">$D$86*$F$18</f>
        <v>29166.666666666668</v>
      </c>
      <c r="F86" s="57">
        <f t="shared" si="36"/>
        <v>29166.666666666668</v>
      </c>
      <c r="G86" s="57">
        <f t="shared" si="36"/>
        <v>29166.666666666668</v>
      </c>
      <c r="H86" s="57">
        <f t="shared" si="36"/>
        <v>29166.666666666668</v>
      </c>
      <c r="I86" s="57">
        <f t="shared" si="36"/>
        <v>29166.666666666668</v>
      </c>
      <c r="J86" s="57">
        <f t="shared" si="36"/>
        <v>29166.666666666668</v>
      </c>
      <c r="K86" s="57">
        <f t="shared" si="36"/>
        <v>29166.666666666668</v>
      </c>
      <c r="L86" s="57">
        <f t="shared" si="36"/>
        <v>29166.666666666668</v>
      </c>
      <c r="M86" s="57">
        <f t="shared" si="36"/>
        <v>29166.666666666668</v>
      </c>
      <c r="N86" s="57">
        <f t="shared" si="36"/>
        <v>29166.666666666668</v>
      </c>
      <c r="O86" s="57">
        <f t="shared" si="36"/>
        <v>29166.666666666668</v>
      </c>
      <c r="P86" s="57">
        <f t="shared" si="36"/>
        <v>29166.666666666668</v>
      </c>
    </row>
    <row r="87" spans="1:16" x14ac:dyDescent="0.2">
      <c r="B87" s="56" t="s">
        <v>122</v>
      </c>
      <c r="C87" s="57"/>
      <c r="D87" s="58">
        <f>'Inversiones iniciales'!G5</f>
        <v>0.52171052631578951</v>
      </c>
      <c r="E87" s="57">
        <f t="shared" ref="E87:P87" si="37">$D$87*$F$23</f>
        <v>105733.33333333334</v>
      </c>
      <c r="F87" s="57">
        <f t="shared" si="37"/>
        <v>105733.33333333334</v>
      </c>
      <c r="G87" s="57">
        <f t="shared" si="37"/>
        <v>105733.33333333334</v>
      </c>
      <c r="H87" s="57">
        <f t="shared" si="37"/>
        <v>105733.33333333334</v>
      </c>
      <c r="I87" s="57">
        <f t="shared" si="37"/>
        <v>105733.33333333334</v>
      </c>
      <c r="J87" s="57">
        <f t="shared" si="37"/>
        <v>105733.33333333334</v>
      </c>
      <c r="K87" s="57">
        <f t="shared" si="37"/>
        <v>105733.33333333334</v>
      </c>
      <c r="L87" s="57">
        <f t="shared" si="37"/>
        <v>105733.33333333334</v>
      </c>
      <c r="M87" s="57">
        <f t="shared" si="37"/>
        <v>105733.33333333334</v>
      </c>
      <c r="N87" s="57">
        <f t="shared" si="37"/>
        <v>105733.33333333334</v>
      </c>
      <c r="O87" s="57">
        <f t="shared" si="37"/>
        <v>105733.33333333334</v>
      </c>
      <c r="P87" s="57">
        <f t="shared" si="37"/>
        <v>105733.33333333334</v>
      </c>
    </row>
    <row r="88" spans="1:16" x14ac:dyDescent="0.2">
      <c r="B88" s="56" t="s">
        <v>71</v>
      </c>
      <c r="C88" s="57"/>
      <c r="D88" s="58">
        <f>'Inversiones iniciales'!G7</f>
        <v>0.73688610240334385</v>
      </c>
      <c r="E88" s="57">
        <f t="shared" ref="E88:P88" si="38">$D$88*$F$28</f>
        <v>58766.666666666672</v>
      </c>
      <c r="F88" s="57">
        <f t="shared" si="38"/>
        <v>58766.666666666672</v>
      </c>
      <c r="G88" s="57">
        <f t="shared" si="38"/>
        <v>58766.666666666672</v>
      </c>
      <c r="H88" s="57">
        <f t="shared" si="38"/>
        <v>58766.666666666672</v>
      </c>
      <c r="I88" s="57">
        <f t="shared" si="38"/>
        <v>58766.666666666672</v>
      </c>
      <c r="J88" s="57">
        <f t="shared" si="38"/>
        <v>58766.666666666672</v>
      </c>
      <c r="K88" s="57">
        <f t="shared" si="38"/>
        <v>58766.666666666672</v>
      </c>
      <c r="L88" s="57">
        <f t="shared" si="38"/>
        <v>58766.666666666672</v>
      </c>
      <c r="M88" s="57">
        <f t="shared" si="38"/>
        <v>58766.666666666672</v>
      </c>
      <c r="N88" s="57">
        <f t="shared" si="38"/>
        <v>58766.666666666672</v>
      </c>
      <c r="O88" s="57">
        <f t="shared" si="38"/>
        <v>58766.666666666672</v>
      </c>
      <c r="P88" s="57">
        <f t="shared" si="38"/>
        <v>58766.666666666672</v>
      </c>
    </row>
    <row r="89" spans="1:16" x14ac:dyDescent="0.2">
      <c r="E89" s="59">
        <f t="shared" ref="E89:P89" si="39">+SUM(E85:E88)</f>
        <v>212125</v>
      </c>
      <c r="F89" s="59">
        <f t="shared" si="39"/>
        <v>212125</v>
      </c>
      <c r="G89" s="59">
        <f t="shared" si="39"/>
        <v>212125</v>
      </c>
      <c r="H89" s="59">
        <f t="shared" si="39"/>
        <v>212125</v>
      </c>
      <c r="I89" s="59">
        <f t="shared" si="39"/>
        <v>212125</v>
      </c>
      <c r="J89" s="59">
        <f t="shared" si="39"/>
        <v>212125</v>
      </c>
      <c r="K89" s="59">
        <f t="shared" si="39"/>
        <v>212125</v>
      </c>
      <c r="L89" s="59">
        <f t="shared" si="39"/>
        <v>212125</v>
      </c>
      <c r="M89" s="59">
        <f t="shared" si="39"/>
        <v>212125</v>
      </c>
      <c r="N89" s="59">
        <f t="shared" si="39"/>
        <v>212125</v>
      </c>
      <c r="O89" s="59">
        <f t="shared" si="39"/>
        <v>212125</v>
      </c>
      <c r="P89" s="59">
        <f t="shared" si="39"/>
        <v>212125</v>
      </c>
    </row>
    <row r="90" spans="1:16" x14ac:dyDescent="0.2">
      <c r="E90" s="53"/>
      <c r="F90" s="53"/>
      <c r="G90" s="53"/>
      <c r="H90" s="53"/>
      <c r="I90" s="53"/>
      <c r="J90" s="53"/>
      <c r="K90" s="53"/>
      <c r="L90" s="53"/>
      <c r="M90" s="53"/>
    </row>
    <row r="91" spans="1:16" x14ac:dyDescent="0.2">
      <c r="B91" s="69" t="s">
        <v>134</v>
      </c>
      <c r="C91" s="62">
        <f>C68</f>
        <v>1350000</v>
      </c>
      <c r="D91" s="71">
        <v>0.02</v>
      </c>
      <c r="E91" s="62">
        <f>C91*(1+$D$43)</f>
        <v>1377000</v>
      </c>
      <c r="F91" s="62">
        <f>E91*(1+$D$43)</f>
        <v>1404540</v>
      </c>
      <c r="G91" s="62">
        <f>F91*(1+$D$43)</f>
        <v>1432630.8</v>
      </c>
      <c r="H91" s="62">
        <f t="shared" ref="H91:P91" si="40">G91*(1+$D$43)</f>
        <v>1461283.416</v>
      </c>
      <c r="I91" s="62">
        <f t="shared" si="40"/>
        <v>1490509.0843199999</v>
      </c>
      <c r="J91" s="62">
        <f t="shared" si="40"/>
        <v>1520319.2660063999</v>
      </c>
      <c r="K91" s="62">
        <f t="shared" si="40"/>
        <v>1550725.6513265278</v>
      </c>
      <c r="L91" s="62">
        <f t="shared" si="40"/>
        <v>1581740.1643530584</v>
      </c>
      <c r="M91" s="62">
        <f t="shared" si="40"/>
        <v>1613374.9676401196</v>
      </c>
      <c r="N91" s="62">
        <f t="shared" si="40"/>
        <v>1645642.4669929221</v>
      </c>
      <c r="O91" s="62">
        <f t="shared" si="40"/>
        <v>1678555.3163327805</v>
      </c>
      <c r="P91" s="62">
        <f t="shared" si="40"/>
        <v>1712126.4226594362</v>
      </c>
    </row>
    <row r="92" spans="1:16" x14ac:dyDescent="0.2">
      <c r="B92" s="69" t="s">
        <v>374</v>
      </c>
      <c r="C92" s="57"/>
      <c r="D92" s="71">
        <v>0.3</v>
      </c>
      <c r="E92" s="57">
        <f>$D$92*E91</f>
        <v>413100</v>
      </c>
      <c r="F92" s="57">
        <f>$D$92*F91</f>
        <v>421362</v>
      </c>
      <c r="G92" s="57">
        <f t="shared" ref="G92:P92" si="41">$D$92*G91</f>
        <v>429789.24</v>
      </c>
      <c r="H92" s="57">
        <f t="shared" si="41"/>
        <v>438385.02479999996</v>
      </c>
      <c r="I92" s="57">
        <f t="shared" si="41"/>
        <v>447152.72529599996</v>
      </c>
      <c r="J92" s="57">
        <f t="shared" si="41"/>
        <v>456095.77980191994</v>
      </c>
      <c r="K92" s="57">
        <f t="shared" si="41"/>
        <v>465217.69539795833</v>
      </c>
      <c r="L92" s="57">
        <f t="shared" si="41"/>
        <v>474522.04930591752</v>
      </c>
      <c r="M92" s="57">
        <f t="shared" si="41"/>
        <v>484012.49029203586</v>
      </c>
      <c r="N92" s="57">
        <f t="shared" si="41"/>
        <v>493692.74009787664</v>
      </c>
      <c r="O92" s="57">
        <f t="shared" si="41"/>
        <v>503566.59489983413</v>
      </c>
      <c r="P92" s="57">
        <f t="shared" si="41"/>
        <v>513637.92679783085</v>
      </c>
    </row>
    <row r="93" spans="1:16" x14ac:dyDescent="0.2">
      <c r="E93" s="53"/>
      <c r="F93" s="53"/>
      <c r="G93" s="53"/>
      <c r="H93" s="53"/>
      <c r="I93" s="53"/>
      <c r="J93" s="53"/>
      <c r="K93" s="53"/>
      <c r="L93" s="53"/>
      <c r="M93" s="53"/>
    </row>
    <row r="94" spans="1:16" x14ac:dyDescent="0.2">
      <c r="B94" s="49" t="s">
        <v>141</v>
      </c>
      <c r="C94" s="51"/>
      <c r="D94" s="51"/>
      <c r="E94" s="55">
        <v>45322</v>
      </c>
      <c r="F94" s="55">
        <v>45351</v>
      </c>
      <c r="G94" s="55">
        <v>45382</v>
      </c>
      <c r="H94" s="55">
        <v>45412</v>
      </c>
      <c r="I94" s="55">
        <v>45443</v>
      </c>
      <c r="J94" s="55">
        <v>45473</v>
      </c>
      <c r="K94" s="55">
        <v>45504</v>
      </c>
      <c r="L94" s="55">
        <v>45535</v>
      </c>
      <c r="M94" s="55">
        <v>45565</v>
      </c>
      <c r="N94" s="55">
        <v>45596</v>
      </c>
      <c r="O94" s="55">
        <v>45626</v>
      </c>
      <c r="P94" s="55">
        <v>45657</v>
      </c>
    </row>
    <row r="95" spans="1:16" x14ac:dyDescent="0.2">
      <c r="B95" s="56" t="s">
        <v>44</v>
      </c>
      <c r="C95" s="57"/>
      <c r="D95" s="64"/>
      <c r="E95" s="57">
        <f>'Mano de obra'!$E$18</f>
        <v>770960.4</v>
      </c>
      <c r="F95" s="57">
        <f>'Mano de obra'!$E$18</f>
        <v>770960.4</v>
      </c>
      <c r="G95" s="57">
        <f>'Mano de obra'!$E$18</f>
        <v>770960.4</v>
      </c>
      <c r="H95" s="57">
        <f>'Mano de obra'!$E$18</f>
        <v>770960.4</v>
      </c>
      <c r="I95" s="57">
        <f>'Mano de obra'!$E$18</f>
        <v>770960.4</v>
      </c>
      <c r="J95" s="57">
        <f>'Mano de obra'!$E$18</f>
        <v>770960.4</v>
      </c>
      <c r="K95" s="57">
        <f>'Mano de obra'!$E$18</f>
        <v>770960.4</v>
      </c>
      <c r="L95" s="57">
        <f>'Mano de obra'!$E$18</f>
        <v>770960.4</v>
      </c>
      <c r="M95" s="57">
        <f>'Mano de obra'!$E$18</f>
        <v>770960.4</v>
      </c>
      <c r="N95" s="57">
        <f>'Mano de obra'!$E$18</f>
        <v>770960.4</v>
      </c>
      <c r="O95" s="57">
        <f>'Mano de obra'!$E$18</f>
        <v>770960.4</v>
      </c>
      <c r="P95" s="57">
        <f>'Mano de obra'!$E$18</f>
        <v>770960.4</v>
      </c>
    </row>
    <row r="96" spans="1:16" x14ac:dyDescent="0.2">
      <c r="B96" s="56" t="s">
        <v>46</v>
      </c>
      <c r="C96" s="57"/>
      <c r="D96" s="64"/>
      <c r="E96" s="57">
        <f>'Mano de obra'!$E$19</f>
        <v>5080404.3039999995</v>
      </c>
      <c r="F96" s="57">
        <f>'Mano de obra'!$E$19</f>
        <v>5080404.3039999995</v>
      </c>
      <c r="G96" s="57">
        <f>'Mano de obra'!$E$19</f>
        <v>5080404.3039999995</v>
      </c>
      <c r="H96" s="57">
        <f>'Mano de obra'!$E$19</f>
        <v>5080404.3039999995</v>
      </c>
      <c r="I96" s="57">
        <f>'Mano de obra'!$E$19</f>
        <v>5080404.3039999995</v>
      </c>
      <c r="J96" s="57">
        <f>'Mano de obra'!$E$19</f>
        <v>5080404.3039999995</v>
      </c>
      <c r="K96" s="57">
        <f>'Mano de obra'!$E$19</f>
        <v>5080404.3039999995</v>
      </c>
      <c r="L96" s="57">
        <f>'Mano de obra'!$E$19</f>
        <v>5080404.3039999995</v>
      </c>
      <c r="M96" s="57">
        <f>'Mano de obra'!$E$19</f>
        <v>5080404.3039999995</v>
      </c>
      <c r="N96" s="57">
        <f>'Mano de obra'!$E$19</f>
        <v>5080404.3039999995</v>
      </c>
      <c r="O96" s="57">
        <f>'Mano de obra'!$E$19</f>
        <v>5080404.3039999995</v>
      </c>
      <c r="P96" s="57">
        <f>'Mano de obra'!$E$19</f>
        <v>5080404.3039999995</v>
      </c>
    </row>
    <row r="97" spans="2:16" x14ac:dyDescent="0.2">
      <c r="B97" s="56" t="s">
        <v>53</v>
      </c>
      <c r="C97" s="57"/>
      <c r="D97" s="64"/>
      <c r="E97" s="57">
        <f>'Mano de obra'!$E$20</f>
        <v>2189320.3864000002</v>
      </c>
      <c r="F97" s="57">
        <f>'Mano de obra'!$E$20</f>
        <v>2189320.3864000002</v>
      </c>
      <c r="G97" s="57">
        <f>'Mano de obra'!$E$20</f>
        <v>2189320.3864000002</v>
      </c>
      <c r="H97" s="57">
        <f>'Mano de obra'!$E$20</f>
        <v>2189320.3864000002</v>
      </c>
      <c r="I97" s="57">
        <f>'Mano de obra'!$E$20</f>
        <v>2189320.3864000002</v>
      </c>
      <c r="J97" s="57">
        <f>'Mano de obra'!$E$20</f>
        <v>2189320.3864000002</v>
      </c>
      <c r="K97" s="57">
        <f>'Mano de obra'!$E$20</f>
        <v>2189320.3864000002</v>
      </c>
      <c r="L97" s="57">
        <f>'Mano de obra'!$E$20</f>
        <v>2189320.3864000002</v>
      </c>
      <c r="M97" s="57">
        <f>'Mano de obra'!$E$20</f>
        <v>2189320.3864000002</v>
      </c>
      <c r="N97" s="57">
        <f>'Mano de obra'!$E$20</f>
        <v>2189320.3864000002</v>
      </c>
      <c r="O97" s="57">
        <f>'Mano de obra'!$E$20</f>
        <v>2189320.3864000002</v>
      </c>
      <c r="P97" s="57">
        <f>'Mano de obra'!$E$20</f>
        <v>2189320.3864000002</v>
      </c>
    </row>
    <row r="98" spans="2:16" x14ac:dyDescent="0.2">
      <c r="E98" s="72">
        <f t="shared" ref="E98:P98" si="42">SUM(E95:E97)</f>
        <v>8040685.0904000001</v>
      </c>
      <c r="F98" s="72">
        <f t="shared" si="42"/>
        <v>8040685.0904000001</v>
      </c>
      <c r="G98" s="72">
        <f t="shared" si="42"/>
        <v>8040685.0904000001</v>
      </c>
      <c r="H98" s="72">
        <f t="shared" si="42"/>
        <v>8040685.0904000001</v>
      </c>
      <c r="I98" s="72">
        <f t="shared" si="42"/>
        <v>8040685.0904000001</v>
      </c>
      <c r="J98" s="72">
        <f t="shared" si="42"/>
        <v>8040685.0904000001</v>
      </c>
      <c r="K98" s="72">
        <f t="shared" si="42"/>
        <v>8040685.0904000001</v>
      </c>
      <c r="L98" s="72">
        <f t="shared" si="42"/>
        <v>8040685.0904000001</v>
      </c>
      <c r="M98" s="72">
        <f t="shared" si="42"/>
        <v>8040685.0904000001</v>
      </c>
      <c r="N98" s="72">
        <f t="shared" si="42"/>
        <v>8040685.0904000001</v>
      </c>
      <c r="O98" s="72">
        <f t="shared" si="42"/>
        <v>8040685.0904000001</v>
      </c>
      <c r="P98" s="72">
        <f t="shared" si="42"/>
        <v>8040685.0904000001</v>
      </c>
    </row>
    <row r="100" spans="2:16" x14ac:dyDescent="0.2">
      <c r="B100" s="49" t="s">
        <v>136</v>
      </c>
      <c r="C100" s="2"/>
      <c r="D100" s="111">
        <v>0.01</v>
      </c>
      <c r="E100" s="57">
        <f>(E92+E98)*$D$100+'Otros gastos y costos'!C5+'Otros gastos y costos'!C33</f>
        <v>5704537.850904</v>
      </c>
      <c r="F100" s="57">
        <f>(F92+F98)*$D$100+'Otros gastos y costos'!$C$28+'Otros gastos y costos'!$C$29+'Otros gastos y costos'!$C$31+'Otros gastos y costos'!C33</f>
        <v>2484620.4709040001</v>
      </c>
      <c r="G100" s="57">
        <f>(G92+G98)*$D$100+'Otros gastos y costos'!$C$28+'Otros gastos y costos'!$C$29+'Otros gastos y costos'!$C$31+'Otros gastos y costos'!C33</f>
        <v>2484704.7433040002</v>
      </c>
      <c r="H100" s="57">
        <f>(H92+H98)*$D$100+'Otros gastos y costos'!$C$28+'Otros gastos y costos'!$C$29+'Otros gastos y costos'!$C$31+'Otros gastos y costos'!C33</f>
        <v>2484790.7011520001</v>
      </c>
      <c r="I100" s="57">
        <f>(I92+I98)*$D$100+'Otros gastos y costos'!$C$28+'Otros gastos y costos'!$C$29+'Otros gastos y costos'!$C$31+'Otros gastos y costos'!C33</f>
        <v>2484878.37815696</v>
      </c>
      <c r="J100" s="57">
        <f>(J92+J98)*$D$100+'Otros gastos y costos'!$C$28+'Otros gastos y costos'!$C$29+'Otros gastos y costos'!$C$31+'Otros gastos y costos'!C33</f>
        <v>2484967.808702019</v>
      </c>
      <c r="K100" s="57">
        <f>(K92+K98)*$D$100+'Otros gastos y costos'!$C$28+'Otros gastos y costos'!$C$29+'Otros gastos y costos'!$C$31+'Otros gastos y costos'!C33</f>
        <v>2485059.0278579798</v>
      </c>
      <c r="L100" s="57">
        <f>(L92+L98)*$D$100+'Otros gastos y costos'!$C$28+'Otros gastos y costos'!$C$29+'Otros gastos y costos'!$C$31+'Otros gastos y costos'!C33</f>
        <v>2485152.0713970591</v>
      </c>
      <c r="M100" s="57">
        <f>(M92+M98)*$D$100+'Otros gastos y costos'!$C$28+'Otros gastos y costos'!$C$29+'Otros gastos y costos'!$C$31+'Otros gastos y costos'!C33</f>
        <v>2485246.9758069203</v>
      </c>
      <c r="N100" s="57">
        <f>(N92+N98)*$D$100+'Otros gastos y costos'!$C$28+'Otros gastos y costos'!$C$29+'Otros gastos y costos'!$C$31+'Otros gastos y costos'!C33</f>
        <v>2485343.7783049787</v>
      </c>
      <c r="O100" s="57">
        <f>(O92+O98)*$D$100+'Otros gastos y costos'!$C$28+'Otros gastos y costos'!$C$29+'Otros gastos y costos'!$C$31+'Otros gastos y costos'!C33</f>
        <v>2485442.5168529982</v>
      </c>
      <c r="P100" s="57">
        <f>(P92+P98)*$D$100+'Otros gastos y costos'!$C$28+'Otros gastos y costos'!$C$29+'Otros gastos y costos'!$C$31+'Otros gastos y costos'!C33</f>
        <v>2485543.2301719785</v>
      </c>
    </row>
    <row r="103" spans="2:16" s="36" customFormat="1" ht="32.25" customHeight="1" x14ac:dyDescent="0.2">
      <c r="B103" s="65" t="s">
        <v>144</v>
      </c>
      <c r="C103" s="8"/>
      <c r="D103" s="66">
        <f>SUM(E103:P103)</f>
        <v>137614542.90500426</v>
      </c>
      <c r="E103" s="67">
        <f>E89+E92+E98+E100</f>
        <v>14370447.941303998</v>
      </c>
      <c r="F103" s="67">
        <f t="shared" ref="F103:P103" si="43">F89+F92+F98+F100</f>
        <v>11158792.561303999</v>
      </c>
      <c r="G103" s="67">
        <f t="shared" si="43"/>
        <v>11167304.073704001</v>
      </c>
      <c r="H103" s="67">
        <f t="shared" si="43"/>
        <v>11175985.816352</v>
      </c>
      <c r="I103" s="67">
        <f t="shared" si="43"/>
        <v>11184841.193852961</v>
      </c>
      <c r="J103" s="67">
        <f t="shared" si="43"/>
        <v>11193873.678903937</v>
      </c>
      <c r="K103" s="67">
        <f t="shared" si="43"/>
        <v>11203086.813655939</v>
      </c>
      <c r="L103" s="67">
        <f t="shared" si="43"/>
        <v>11212484.211102976</v>
      </c>
      <c r="M103" s="67">
        <f t="shared" si="43"/>
        <v>11222069.556498956</v>
      </c>
      <c r="N103" s="67">
        <f t="shared" si="43"/>
        <v>11231846.608802855</v>
      </c>
      <c r="O103" s="67">
        <f t="shared" si="43"/>
        <v>11241819.202152833</v>
      </c>
      <c r="P103" s="67">
        <f t="shared" si="43"/>
        <v>11251991.247369809</v>
      </c>
    </row>
  </sheetData>
  <mergeCells count="8">
    <mergeCell ref="B33:P33"/>
    <mergeCell ref="B58:P58"/>
    <mergeCell ref="B82:P82"/>
    <mergeCell ref="B2:C2"/>
    <mergeCell ref="B3:C3"/>
    <mergeCell ref="B4:C4"/>
    <mergeCell ref="B5:C5"/>
    <mergeCell ref="B7:B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5441-86BC-43F7-A369-AF5956255536}">
  <dimension ref="C1:M71"/>
  <sheetViews>
    <sheetView zoomScale="90" zoomScaleNormal="90" workbookViewId="0">
      <selection activeCell="Q18" sqref="Q18"/>
    </sheetView>
  </sheetViews>
  <sheetFormatPr baseColWidth="10" defaultRowHeight="15" x14ac:dyDescent="0.2"/>
  <cols>
    <col min="3" max="5" width="15.5" customWidth="1"/>
    <col min="6" max="6" width="19.1640625" customWidth="1"/>
    <col min="7" max="7" width="21" customWidth="1"/>
    <col min="8" max="9" width="15.5" customWidth="1"/>
    <col min="10" max="13" width="22.6640625" customWidth="1"/>
  </cols>
  <sheetData>
    <row r="1" spans="3:13" x14ac:dyDescent="0.2">
      <c r="C1" s="38"/>
    </row>
    <row r="2" spans="3:13" x14ac:dyDescent="0.2">
      <c r="C2" s="38"/>
      <c r="D2" s="170" t="s">
        <v>145</v>
      </c>
      <c r="E2" s="170"/>
      <c r="F2" s="170"/>
      <c r="G2" s="170"/>
    </row>
    <row r="3" spans="3:13" x14ac:dyDescent="0.2">
      <c r="C3" s="38"/>
      <c r="D3" s="170" t="s">
        <v>146</v>
      </c>
      <c r="E3" s="170"/>
      <c r="F3" s="46">
        <v>60000000</v>
      </c>
      <c r="G3" s="86"/>
    </row>
    <row r="4" spans="3:13" ht="16" x14ac:dyDescent="0.2">
      <c r="C4" s="38"/>
      <c r="D4" s="170" t="s">
        <v>147</v>
      </c>
      <c r="E4" s="170"/>
      <c r="F4" s="86">
        <v>60</v>
      </c>
      <c r="G4" s="86" t="s">
        <v>148</v>
      </c>
    </row>
    <row r="5" spans="3:13" ht="16" x14ac:dyDescent="0.2">
      <c r="C5" s="38"/>
      <c r="D5" s="170" t="s">
        <v>149</v>
      </c>
      <c r="E5" s="170"/>
      <c r="F5" s="87">
        <v>1.78E-2</v>
      </c>
      <c r="G5" s="86" t="s">
        <v>150</v>
      </c>
    </row>
    <row r="6" spans="3:13" ht="16" x14ac:dyDescent="0.2">
      <c r="C6" s="38"/>
      <c r="D6" s="170" t="s">
        <v>151</v>
      </c>
      <c r="E6" s="170"/>
      <c r="F6" s="88">
        <f>-PMT(F5,F4,F3)</f>
        <v>1635375.7330001327</v>
      </c>
      <c r="G6" s="86" t="s">
        <v>150</v>
      </c>
    </row>
    <row r="7" spans="3:13" x14ac:dyDescent="0.2">
      <c r="C7" s="38"/>
    </row>
    <row r="8" spans="3:13" x14ac:dyDescent="0.2">
      <c r="C8" s="38"/>
    </row>
    <row r="9" spans="3:13" x14ac:dyDescent="0.2">
      <c r="C9" s="38"/>
    </row>
    <row r="10" spans="3:13" x14ac:dyDescent="0.2">
      <c r="C10" s="74" t="s">
        <v>152</v>
      </c>
      <c r="D10" s="74" t="s">
        <v>153</v>
      </c>
      <c r="E10" s="74" t="s">
        <v>154</v>
      </c>
      <c r="F10" s="74" t="s">
        <v>155</v>
      </c>
      <c r="G10" s="74" t="s">
        <v>156</v>
      </c>
    </row>
    <row r="11" spans="3:13" x14ac:dyDescent="0.2">
      <c r="C11" s="86">
        <v>0</v>
      </c>
      <c r="D11" s="46"/>
      <c r="E11" s="46"/>
      <c r="F11" s="46"/>
      <c r="G11" s="46">
        <f>F3</f>
        <v>60000000</v>
      </c>
      <c r="I11" s="74" t="s">
        <v>157</v>
      </c>
      <c r="J11" s="74" t="s">
        <v>158</v>
      </c>
      <c r="K11" s="74" t="s">
        <v>154</v>
      </c>
      <c r="L11" s="74" t="s">
        <v>155</v>
      </c>
      <c r="M11" s="74" t="s">
        <v>156</v>
      </c>
    </row>
    <row r="12" spans="3:13" x14ac:dyDescent="0.2">
      <c r="C12" s="86">
        <v>1</v>
      </c>
      <c r="D12" s="46">
        <f>F6</f>
        <v>1635375.7330001327</v>
      </c>
      <c r="E12" s="46">
        <f>G11*$F$5</f>
        <v>1068000</v>
      </c>
      <c r="F12" s="46">
        <f>D12-E12</f>
        <v>567375.73300013272</v>
      </c>
      <c r="G12" s="46">
        <f>G11-F12</f>
        <v>59432624.266999871</v>
      </c>
      <c r="I12" s="86">
        <v>1</v>
      </c>
      <c r="J12" s="46">
        <f>SUM(D12:D23)</f>
        <v>19624508.796001595</v>
      </c>
      <c r="K12" s="46">
        <f>SUM(E12:E23)</f>
        <v>12108268.185389251</v>
      </c>
      <c r="L12" s="46">
        <f>SUM(F12:F23)</f>
        <v>7516240.6106123431</v>
      </c>
      <c r="M12" s="46">
        <f>G23</f>
        <v>52483759.389387652</v>
      </c>
    </row>
    <row r="13" spans="3:13" x14ac:dyDescent="0.2">
      <c r="C13" s="86">
        <f t="shared" ref="C13:C71" si="0">C12+1</f>
        <v>2</v>
      </c>
      <c r="D13" s="46">
        <f>D12</f>
        <v>1635375.7330001327</v>
      </c>
      <c r="E13" s="46">
        <f t="shared" ref="E13:E71" si="1">G12*$F$5</f>
        <v>1057900.7119525976</v>
      </c>
      <c r="F13" s="46">
        <f t="shared" ref="F13:F71" si="2">D13-E13</f>
        <v>577475.02104753512</v>
      </c>
      <c r="G13" s="46">
        <f t="shared" ref="G13:G70" si="3">G12-F13</f>
        <v>58855149.245952338</v>
      </c>
      <c r="I13" s="86">
        <f>I12+1</f>
        <v>2</v>
      </c>
      <c r="J13" s="46">
        <f>J12</f>
        <v>19624508.796001595</v>
      </c>
      <c r="K13" s="46">
        <f>SUM(E24:E35)</f>
        <v>10335913.677736081</v>
      </c>
      <c r="L13" s="46">
        <f>J13-K13</f>
        <v>9288595.1182655133</v>
      </c>
      <c r="M13" s="46">
        <f>G35</f>
        <v>43195164.27112212</v>
      </c>
    </row>
    <row r="14" spans="3:13" x14ac:dyDescent="0.2">
      <c r="C14" s="86">
        <f t="shared" si="0"/>
        <v>3</v>
      </c>
      <c r="D14" s="46">
        <f t="shared" ref="D14:D71" si="4">D13</f>
        <v>1635375.7330001327</v>
      </c>
      <c r="E14" s="46">
        <f t="shared" si="1"/>
        <v>1047621.6565779516</v>
      </c>
      <c r="F14" s="46">
        <f t="shared" si="2"/>
        <v>587754.0764221811</v>
      </c>
      <c r="G14" s="46">
        <f t="shared" si="3"/>
        <v>58267395.169530153</v>
      </c>
      <c r="I14" s="86">
        <f>I13+1</f>
        <v>3</v>
      </c>
      <c r="J14" s="46">
        <f>J13</f>
        <v>19624508.796001595</v>
      </c>
      <c r="K14" s="46">
        <f>SUM(E36:E47)</f>
        <v>8145632.0887753619</v>
      </c>
      <c r="L14" s="46">
        <f>J14-K14</f>
        <v>11478876.707226232</v>
      </c>
      <c r="M14" s="46">
        <f>G47</f>
        <v>31716287.563895896</v>
      </c>
    </row>
    <row r="15" spans="3:13" x14ac:dyDescent="0.2">
      <c r="C15" s="86">
        <f t="shared" si="0"/>
        <v>4</v>
      </c>
      <c r="D15" s="46">
        <f t="shared" si="4"/>
        <v>1635375.7330001327</v>
      </c>
      <c r="E15" s="46">
        <f t="shared" si="1"/>
        <v>1037159.6340176368</v>
      </c>
      <c r="F15" s="46">
        <f t="shared" si="2"/>
        <v>598216.09898249595</v>
      </c>
      <c r="G15" s="46">
        <f t="shared" si="3"/>
        <v>57669179.070547655</v>
      </c>
      <c r="I15" s="86">
        <f>I14+1</f>
        <v>4</v>
      </c>
      <c r="J15" s="46">
        <f>J14</f>
        <v>19624508.796001595</v>
      </c>
      <c r="K15" s="46">
        <f>SUM(E48:E59)</f>
        <v>5438874.8242297992</v>
      </c>
      <c r="L15" s="46">
        <f>J15-K15</f>
        <v>14185633.971771795</v>
      </c>
      <c r="M15" s="46">
        <f>G59</f>
        <v>17530653.592124097</v>
      </c>
    </row>
    <row r="16" spans="3:13" x14ac:dyDescent="0.2">
      <c r="C16" s="86">
        <f t="shared" si="0"/>
        <v>5</v>
      </c>
      <c r="D16" s="46">
        <f t="shared" si="4"/>
        <v>1635375.7330001327</v>
      </c>
      <c r="E16" s="46">
        <f t="shared" si="1"/>
        <v>1026511.3874557483</v>
      </c>
      <c r="F16" s="46">
        <f t="shared" si="2"/>
        <v>608864.34554438444</v>
      </c>
      <c r="G16" s="46">
        <f t="shared" si="3"/>
        <v>57060314.725003272</v>
      </c>
      <c r="I16" s="86">
        <f>I15+1</f>
        <v>5</v>
      </c>
      <c r="J16" s="46">
        <f>J15</f>
        <v>19624508.796001595</v>
      </c>
      <c r="K16" s="46">
        <f>SUM(E60:E71)</f>
        <v>2093855.203877422</v>
      </c>
      <c r="L16" s="46">
        <f>J16-K16</f>
        <v>17530653.592124172</v>
      </c>
      <c r="M16" s="46">
        <f>G71</f>
        <v>-7.4040144681930542E-8</v>
      </c>
    </row>
    <row r="17" spans="3:13" x14ac:dyDescent="0.2">
      <c r="C17" s="86">
        <f t="shared" si="0"/>
        <v>6</v>
      </c>
      <c r="D17" s="46">
        <f t="shared" si="4"/>
        <v>1635375.7330001327</v>
      </c>
      <c r="E17" s="46">
        <f t="shared" si="1"/>
        <v>1015673.6021050583</v>
      </c>
      <c r="F17" s="46">
        <f t="shared" si="2"/>
        <v>619702.13089507446</v>
      </c>
      <c r="G17" s="46">
        <f t="shared" si="3"/>
        <v>56440612.594108194</v>
      </c>
      <c r="I17" s="89" t="s">
        <v>19</v>
      </c>
      <c r="J17" s="89">
        <f>SUM(J12:J16)</f>
        <v>98122543.980007976</v>
      </c>
      <c r="K17" s="89">
        <f>SUM(K12:K16)</f>
        <v>38122543.980007917</v>
      </c>
      <c r="L17" s="89">
        <f>SUM(L12:L16)</f>
        <v>60000000.000000052</v>
      </c>
      <c r="M17" s="89"/>
    </row>
    <row r="18" spans="3:13" x14ac:dyDescent="0.2">
      <c r="C18" s="86">
        <f t="shared" si="0"/>
        <v>7</v>
      </c>
      <c r="D18" s="46">
        <f t="shared" si="4"/>
        <v>1635375.7330001327</v>
      </c>
      <c r="E18" s="46">
        <f t="shared" si="1"/>
        <v>1004642.9041751259</v>
      </c>
      <c r="F18" s="46">
        <f t="shared" si="2"/>
        <v>630732.82882500684</v>
      </c>
      <c r="G18" s="46">
        <f t="shared" si="3"/>
        <v>55809879.76528319</v>
      </c>
    </row>
    <row r="19" spans="3:13" x14ac:dyDescent="0.2">
      <c r="C19" s="86">
        <f t="shared" si="0"/>
        <v>8</v>
      </c>
      <c r="D19" s="46">
        <f t="shared" si="4"/>
        <v>1635375.7330001327</v>
      </c>
      <c r="E19" s="46">
        <f t="shared" si="1"/>
        <v>993415.85982204077</v>
      </c>
      <c r="F19" s="46">
        <f t="shared" si="2"/>
        <v>641959.87317809195</v>
      </c>
      <c r="G19" s="46">
        <f t="shared" si="3"/>
        <v>55167919.892105095</v>
      </c>
    </row>
    <row r="20" spans="3:13" x14ac:dyDescent="0.2">
      <c r="C20" s="86">
        <f t="shared" si="0"/>
        <v>9</v>
      </c>
      <c r="D20" s="46">
        <f t="shared" si="4"/>
        <v>1635375.7330001327</v>
      </c>
      <c r="E20" s="46">
        <f t="shared" si="1"/>
        <v>981988.97407947073</v>
      </c>
      <c r="F20" s="46">
        <f t="shared" si="2"/>
        <v>653386.75892066199</v>
      </c>
      <c r="G20" s="46">
        <f t="shared" si="3"/>
        <v>54514533.133184433</v>
      </c>
    </row>
    <row r="21" spans="3:13" x14ac:dyDescent="0.2">
      <c r="C21" s="86">
        <f t="shared" si="0"/>
        <v>10</v>
      </c>
      <c r="D21" s="46">
        <f t="shared" si="4"/>
        <v>1635375.7330001327</v>
      </c>
      <c r="E21" s="46">
        <f t="shared" si="1"/>
        <v>970358.68977068295</v>
      </c>
      <c r="F21" s="46">
        <f t="shared" si="2"/>
        <v>665017.04322944977</v>
      </c>
      <c r="G21" s="46">
        <f t="shared" si="3"/>
        <v>53849516.08995498</v>
      </c>
    </row>
    <row r="22" spans="3:13" x14ac:dyDescent="0.2">
      <c r="C22" s="86">
        <f t="shared" si="0"/>
        <v>11</v>
      </c>
      <c r="D22" s="46">
        <f t="shared" si="4"/>
        <v>1635375.7330001327</v>
      </c>
      <c r="E22" s="46">
        <f t="shared" si="1"/>
        <v>958521.38640119869</v>
      </c>
      <c r="F22" s="46">
        <f t="shared" si="2"/>
        <v>676854.34659893403</v>
      </c>
      <c r="G22" s="46">
        <f t="shared" si="3"/>
        <v>53172661.743356049</v>
      </c>
    </row>
    <row r="23" spans="3:13" x14ac:dyDescent="0.2">
      <c r="C23" s="86">
        <f t="shared" si="0"/>
        <v>12</v>
      </c>
      <c r="D23" s="46">
        <f t="shared" si="4"/>
        <v>1635375.7330001327</v>
      </c>
      <c r="E23" s="46">
        <f t="shared" si="1"/>
        <v>946473.37903173768</v>
      </c>
      <c r="F23" s="46">
        <f t="shared" si="2"/>
        <v>688902.35396839504</v>
      </c>
      <c r="G23" s="46">
        <f t="shared" si="3"/>
        <v>52483759.389387652</v>
      </c>
    </row>
    <row r="24" spans="3:13" x14ac:dyDescent="0.2">
      <c r="C24" s="86">
        <f t="shared" si="0"/>
        <v>13</v>
      </c>
      <c r="D24" s="46">
        <f t="shared" si="4"/>
        <v>1635375.7330001327</v>
      </c>
      <c r="E24" s="46">
        <f t="shared" si="1"/>
        <v>934210.9171311002</v>
      </c>
      <c r="F24" s="46">
        <f t="shared" si="2"/>
        <v>701164.81586903252</v>
      </c>
      <c r="G24" s="46">
        <f t="shared" si="3"/>
        <v>51782594.573518619</v>
      </c>
    </row>
    <row r="25" spans="3:13" x14ac:dyDescent="0.2">
      <c r="C25" s="86">
        <f t="shared" si="0"/>
        <v>14</v>
      </c>
      <c r="D25" s="46">
        <f t="shared" si="4"/>
        <v>1635375.7330001327</v>
      </c>
      <c r="E25" s="46">
        <f t="shared" si="1"/>
        <v>921730.18340863136</v>
      </c>
      <c r="F25" s="46">
        <f t="shared" si="2"/>
        <v>713645.54959150136</v>
      </c>
      <c r="G25" s="46">
        <f t="shared" si="3"/>
        <v>51068949.023927115</v>
      </c>
    </row>
    <row r="26" spans="3:13" x14ac:dyDescent="0.2">
      <c r="C26" s="86">
        <f t="shared" si="0"/>
        <v>15</v>
      </c>
      <c r="D26" s="46">
        <f t="shared" si="4"/>
        <v>1635375.7330001327</v>
      </c>
      <c r="E26" s="46">
        <f t="shared" si="1"/>
        <v>909027.29262590269</v>
      </c>
      <c r="F26" s="46">
        <f t="shared" si="2"/>
        <v>726348.44037423003</v>
      </c>
      <c r="G26" s="46">
        <f t="shared" si="3"/>
        <v>50342600.583552882</v>
      </c>
    </row>
    <row r="27" spans="3:13" x14ac:dyDescent="0.2">
      <c r="C27" s="86">
        <f t="shared" si="0"/>
        <v>16</v>
      </c>
      <c r="D27" s="46">
        <f t="shared" si="4"/>
        <v>1635375.7330001327</v>
      </c>
      <c r="E27" s="46">
        <f t="shared" si="1"/>
        <v>896098.29038724129</v>
      </c>
      <c r="F27" s="46">
        <f t="shared" si="2"/>
        <v>739277.44261289143</v>
      </c>
      <c r="G27" s="46">
        <f t="shared" si="3"/>
        <v>49603323.140939988</v>
      </c>
    </row>
    <row r="28" spans="3:13" x14ac:dyDescent="0.2">
      <c r="C28" s="86">
        <f t="shared" si="0"/>
        <v>17</v>
      </c>
      <c r="D28" s="46">
        <f t="shared" si="4"/>
        <v>1635375.7330001327</v>
      </c>
      <c r="E28" s="46">
        <f t="shared" si="1"/>
        <v>882939.15190873179</v>
      </c>
      <c r="F28" s="46">
        <f t="shared" si="2"/>
        <v>752436.58109140093</v>
      </c>
      <c r="G28" s="46">
        <f t="shared" si="3"/>
        <v>48850886.559848584</v>
      </c>
    </row>
    <row r="29" spans="3:13" x14ac:dyDescent="0.2">
      <c r="C29" s="86">
        <f t="shared" si="0"/>
        <v>18</v>
      </c>
      <c r="D29" s="46">
        <f t="shared" si="4"/>
        <v>1635375.7330001327</v>
      </c>
      <c r="E29" s="46">
        <f t="shared" si="1"/>
        <v>869545.78076530481</v>
      </c>
      <c r="F29" s="46">
        <f t="shared" si="2"/>
        <v>765829.95223482791</v>
      </c>
      <c r="G29" s="46">
        <f t="shared" si="3"/>
        <v>48085056.607613757</v>
      </c>
    </row>
    <row r="30" spans="3:13" x14ac:dyDescent="0.2">
      <c r="C30" s="86">
        <f t="shared" si="0"/>
        <v>19</v>
      </c>
      <c r="D30" s="46">
        <f t="shared" si="4"/>
        <v>1635375.7330001327</v>
      </c>
      <c r="E30" s="46">
        <f t="shared" si="1"/>
        <v>855914.00761552493</v>
      </c>
      <c r="F30" s="46">
        <f t="shared" si="2"/>
        <v>779461.72538460779</v>
      </c>
      <c r="G30" s="46">
        <f t="shared" si="3"/>
        <v>47305594.882229149</v>
      </c>
    </row>
    <row r="31" spans="3:13" x14ac:dyDescent="0.2">
      <c r="C31" s="86">
        <f t="shared" si="0"/>
        <v>20</v>
      </c>
      <c r="D31" s="46">
        <f t="shared" si="4"/>
        <v>1635375.7330001327</v>
      </c>
      <c r="E31" s="46">
        <f t="shared" si="1"/>
        <v>842039.58890367881</v>
      </c>
      <c r="F31" s="46">
        <f t="shared" si="2"/>
        <v>793336.14409645391</v>
      </c>
      <c r="G31" s="46">
        <f t="shared" si="3"/>
        <v>46512258.738132693</v>
      </c>
    </row>
    <row r="32" spans="3:13" x14ac:dyDescent="0.2">
      <c r="C32" s="86">
        <f t="shared" si="0"/>
        <v>21</v>
      </c>
      <c r="D32" s="46">
        <f t="shared" si="4"/>
        <v>1635375.7330001327</v>
      </c>
      <c r="E32" s="46">
        <f t="shared" si="1"/>
        <v>827918.20553876192</v>
      </c>
      <c r="F32" s="46">
        <f t="shared" si="2"/>
        <v>807457.5274613708</v>
      </c>
      <c r="G32" s="46">
        <f t="shared" si="3"/>
        <v>45704801.210671321</v>
      </c>
    </row>
    <row r="33" spans="3:7" x14ac:dyDescent="0.2">
      <c r="C33" s="86">
        <f t="shared" si="0"/>
        <v>22</v>
      </c>
      <c r="D33" s="46">
        <f t="shared" si="4"/>
        <v>1635375.7330001327</v>
      </c>
      <c r="E33" s="46">
        <f t="shared" si="1"/>
        <v>813545.46154994948</v>
      </c>
      <c r="F33" s="46">
        <f t="shared" si="2"/>
        <v>821830.27145018324</v>
      </c>
      <c r="G33" s="46">
        <f t="shared" si="3"/>
        <v>44882970.939221136</v>
      </c>
    </row>
    <row r="34" spans="3:7" x14ac:dyDescent="0.2">
      <c r="C34" s="86">
        <f t="shared" si="0"/>
        <v>23</v>
      </c>
      <c r="D34" s="46">
        <f t="shared" si="4"/>
        <v>1635375.7330001327</v>
      </c>
      <c r="E34" s="46">
        <f t="shared" si="1"/>
        <v>798916.88271813618</v>
      </c>
      <c r="F34" s="46">
        <f t="shared" si="2"/>
        <v>836458.85028199654</v>
      </c>
      <c r="G34" s="46">
        <f t="shared" si="3"/>
        <v>44046512.088939138</v>
      </c>
    </row>
    <row r="35" spans="3:7" x14ac:dyDescent="0.2">
      <c r="C35" s="86">
        <f t="shared" si="0"/>
        <v>24</v>
      </c>
      <c r="D35" s="46">
        <f t="shared" si="4"/>
        <v>1635375.7330001327</v>
      </c>
      <c r="E35" s="46">
        <f t="shared" si="1"/>
        <v>784027.91518311668</v>
      </c>
      <c r="F35" s="46">
        <f t="shared" si="2"/>
        <v>851347.81781701604</v>
      </c>
      <c r="G35" s="46">
        <f t="shared" si="3"/>
        <v>43195164.27112212</v>
      </c>
    </row>
    <row r="36" spans="3:7" x14ac:dyDescent="0.2">
      <c r="C36" s="86">
        <f t="shared" si="0"/>
        <v>25</v>
      </c>
      <c r="D36" s="46">
        <f t="shared" si="4"/>
        <v>1635375.7330001327</v>
      </c>
      <c r="E36" s="46">
        <f t="shared" si="1"/>
        <v>768873.92402597377</v>
      </c>
      <c r="F36" s="46">
        <f t="shared" si="2"/>
        <v>866501.80897415895</v>
      </c>
      <c r="G36" s="46">
        <f t="shared" si="3"/>
        <v>42328662.462147959</v>
      </c>
    </row>
    <row r="37" spans="3:7" x14ac:dyDescent="0.2">
      <c r="C37" s="86">
        <f t="shared" si="0"/>
        <v>26</v>
      </c>
      <c r="D37" s="46">
        <f t="shared" si="4"/>
        <v>1635375.7330001327</v>
      </c>
      <c r="E37" s="46">
        <f t="shared" si="1"/>
        <v>753450.19182623364</v>
      </c>
      <c r="F37" s="46">
        <f t="shared" si="2"/>
        <v>881925.54117389908</v>
      </c>
      <c r="G37" s="46">
        <f t="shared" si="3"/>
        <v>41446736.920974061</v>
      </c>
    </row>
    <row r="38" spans="3:7" x14ac:dyDescent="0.2">
      <c r="C38" s="86">
        <f t="shared" si="0"/>
        <v>27</v>
      </c>
      <c r="D38" s="46">
        <f t="shared" si="4"/>
        <v>1635375.7330001327</v>
      </c>
      <c r="E38" s="46">
        <f t="shared" si="1"/>
        <v>737751.91719333827</v>
      </c>
      <c r="F38" s="46">
        <f t="shared" si="2"/>
        <v>897623.81580679445</v>
      </c>
      <c r="G38" s="46">
        <f t="shared" si="3"/>
        <v>40549113.10516727</v>
      </c>
    </row>
    <row r="39" spans="3:7" x14ac:dyDescent="0.2">
      <c r="C39" s="86">
        <f t="shared" si="0"/>
        <v>28</v>
      </c>
      <c r="D39" s="46">
        <f t="shared" si="4"/>
        <v>1635375.7330001327</v>
      </c>
      <c r="E39" s="46">
        <f t="shared" si="1"/>
        <v>721774.21327197738</v>
      </c>
      <c r="F39" s="46">
        <f t="shared" si="2"/>
        <v>913601.51972815534</v>
      </c>
      <c r="G39" s="46">
        <f t="shared" si="3"/>
        <v>39635511.585439116</v>
      </c>
    </row>
    <row r="40" spans="3:7" x14ac:dyDescent="0.2">
      <c r="C40" s="86">
        <f t="shared" si="0"/>
        <v>29</v>
      </c>
      <c r="D40" s="46">
        <f t="shared" si="4"/>
        <v>1635375.7330001327</v>
      </c>
      <c r="E40" s="46">
        <f t="shared" si="1"/>
        <v>705512.10622081626</v>
      </c>
      <c r="F40" s="46">
        <f t="shared" si="2"/>
        <v>929863.62677931646</v>
      </c>
      <c r="G40" s="46">
        <f t="shared" si="3"/>
        <v>38705647.958659798</v>
      </c>
    </row>
    <row r="41" spans="3:7" x14ac:dyDescent="0.2">
      <c r="C41" s="86">
        <f t="shared" si="0"/>
        <v>30</v>
      </c>
      <c r="D41" s="46">
        <f t="shared" si="4"/>
        <v>1635375.7330001327</v>
      </c>
      <c r="E41" s="46">
        <f t="shared" si="1"/>
        <v>688960.53366414434</v>
      </c>
      <c r="F41" s="46">
        <f t="shared" si="2"/>
        <v>946415.19933598838</v>
      </c>
      <c r="G41" s="46">
        <f t="shared" si="3"/>
        <v>37759232.759323813</v>
      </c>
    </row>
    <row r="42" spans="3:7" x14ac:dyDescent="0.2">
      <c r="C42" s="86">
        <f t="shared" si="0"/>
        <v>31</v>
      </c>
      <c r="D42" s="46">
        <f t="shared" si="4"/>
        <v>1635375.7330001327</v>
      </c>
      <c r="E42" s="46">
        <f t="shared" si="1"/>
        <v>672114.34311596386</v>
      </c>
      <c r="F42" s="46">
        <f t="shared" si="2"/>
        <v>963261.38988416886</v>
      </c>
      <c r="G42" s="46">
        <f t="shared" si="3"/>
        <v>36795971.369439647</v>
      </c>
    </row>
    <row r="43" spans="3:7" x14ac:dyDescent="0.2">
      <c r="C43" s="86">
        <f t="shared" si="0"/>
        <v>32</v>
      </c>
      <c r="D43" s="46">
        <f t="shared" si="4"/>
        <v>1635375.7330001327</v>
      </c>
      <c r="E43" s="46">
        <f t="shared" si="1"/>
        <v>654968.29037602572</v>
      </c>
      <c r="F43" s="46">
        <f t="shared" si="2"/>
        <v>980407.442624107</v>
      </c>
      <c r="G43" s="46">
        <f t="shared" si="3"/>
        <v>35815563.92681554</v>
      </c>
    </row>
    <row r="44" spans="3:7" x14ac:dyDescent="0.2">
      <c r="C44" s="86">
        <f t="shared" si="0"/>
        <v>33</v>
      </c>
      <c r="D44" s="46">
        <f t="shared" si="4"/>
        <v>1635375.7330001327</v>
      </c>
      <c r="E44" s="46">
        <f t="shared" si="1"/>
        <v>637517.03789731662</v>
      </c>
      <c r="F44" s="46">
        <f t="shared" si="2"/>
        <v>997858.6951028161</v>
      </c>
      <c r="G44" s="46">
        <f t="shared" si="3"/>
        <v>34817705.231712721</v>
      </c>
    </row>
    <row r="45" spans="3:7" x14ac:dyDescent="0.2">
      <c r="C45" s="86">
        <f t="shared" si="0"/>
        <v>34</v>
      </c>
      <c r="D45" s="46">
        <f t="shared" si="4"/>
        <v>1635375.7330001327</v>
      </c>
      <c r="E45" s="46">
        <f t="shared" si="1"/>
        <v>619755.15312448645</v>
      </c>
      <c r="F45" s="46">
        <f t="shared" si="2"/>
        <v>1015620.5798756463</v>
      </c>
      <c r="G45" s="46">
        <f t="shared" si="3"/>
        <v>33802084.651837073</v>
      </c>
    </row>
    <row r="46" spans="3:7" x14ac:dyDescent="0.2">
      <c r="C46" s="86">
        <f t="shared" si="0"/>
        <v>35</v>
      </c>
      <c r="D46" s="46">
        <f t="shared" si="4"/>
        <v>1635375.7330001327</v>
      </c>
      <c r="E46" s="46">
        <f t="shared" si="1"/>
        <v>601677.10680269985</v>
      </c>
      <c r="F46" s="46">
        <f t="shared" si="2"/>
        <v>1033698.6261974329</v>
      </c>
      <c r="G46" s="46">
        <f t="shared" si="3"/>
        <v>32768386.025639642</v>
      </c>
    </row>
    <row r="47" spans="3:7" x14ac:dyDescent="0.2">
      <c r="C47" s="86">
        <f t="shared" si="0"/>
        <v>36</v>
      </c>
      <c r="D47" s="46">
        <f t="shared" si="4"/>
        <v>1635375.7330001327</v>
      </c>
      <c r="E47" s="46">
        <f t="shared" si="1"/>
        <v>583277.2712563856</v>
      </c>
      <c r="F47" s="46">
        <f t="shared" si="2"/>
        <v>1052098.4617437471</v>
      </c>
      <c r="G47" s="46">
        <f t="shared" si="3"/>
        <v>31716287.563895896</v>
      </c>
    </row>
    <row r="48" spans="3:7" x14ac:dyDescent="0.2">
      <c r="C48" s="86">
        <f t="shared" si="0"/>
        <v>37</v>
      </c>
      <c r="D48" s="46">
        <f t="shared" si="4"/>
        <v>1635375.7330001327</v>
      </c>
      <c r="E48" s="46">
        <f t="shared" si="1"/>
        <v>564549.91863734694</v>
      </c>
      <c r="F48" s="46">
        <f t="shared" si="2"/>
        <v>1070825.8143627858</v>
      </c>
      <c r="G48" s="46">
        <f t="shared" si="3"/>
        <v>30645461.749533109</v>
      </c>
    </row>
    <row r="49" spans="3:7" x14ac:dyDescent="0.2">
      <c r="C49" s="86">
        <f t="shared" si="0"/>
        <v>38</v>
      </c>
      <c r="D49" s="46">
        <f t="shared" si="4"/>
        <v>1635375.7330001327</v>
      </c>
      <c r="E49" s="46">
        <f t="shared" si="1"/>
        <v>545489.21914168936</v>
      </c>
      <c r="F49" s="46">
        <f t="shared" si="2"/>
        <v>1089886.5138584434</v>
      </c>
      <c r="G49" s="46">
        <f t="shared" si="3"/>
        <v>29555575.235674664</v>
      </c>
    </row>
    <row r="50" spans="3:7" x14ac:dyDescent="0.2">
      <c r="C50" s="86">
        <f t="shared" si="0"/>
        <v>39</v>
      </c>
      <c r="D50" s="46">
        <f t="shared" si="4"/>
        <v>1635375.7330001327</v>
      </c>
      <c r="E50" s="46">
        <f t="shared" si="1"/>
        <v>526089.239195009</v>
      </c>
      <c r="F50" s="46">
        <f t="shared" si="2"/>
        <v>1109286.4938051237</v>
      </c>
      <c r="G50" s="46">
        <f t="shared" si="3"/>
        <v>28446288.741869539</v>
      </c>
    </row>
    <row r="51" spans="3:7" x14ac:dyDescent="0.2">
      <c r="C51" s="86">
        <f t="shared" si="0"/>
        <v>40</v>
      </c>
      <c r="D51" s="46">
        <f t="shared" si="4"/>
        <v>1635375.7330001327</v>
      </c>
      <c r="E51" s="46">
        <f t="shared" si="1"/>
        <v>506343.93960527779</v>
      </c>
      <c r="F51" s="46">
        <f t="shared" si="2"/>
        <v>1129031.793394855</v>
      </c>
      <c r="G51" s="46">
        <f t="shared" si="3"/>
        <v>27317256.948474683</v>
      </c>
    </row>
    <row r="52" spans="3:7" x14ac:dyDescent="0.2">
      <c r="C52" s="86">
        <f t="shared" si="0"/>
        <v>41</v>
      </c>
      <c r="D52" s="46">
        <f t="shared" si="4"/>
        <v>1635375.7330001327</v>
      </c>
      <c r="E52" s="46">
        <f t="shared" si="1"/>
        <v>486247.17368284933</v>
      </c>
      <c r="F52" s="46">
        <f t="shared" si="2"/>
        <v>1149128.5593172833</v>
      </c>
      <c r="G52" s="46">
        <f t="shared" si="3"/>
        <v>26168128.3891574</v>
      </c>
    </row>
    <row r="53" spans="3:7" x14ac:dyDescent="0.2">
      <c r="C53" s="86">
        <f t="shared" si="0"/>
        <v>42</v>
      </c>
      <c r="D53" s="46">
        <f t="shared" si="4"/>
        <v>1635375.7330001327</v>
      </c>
      <c r="E53" s="46">
        <f t="shared" si="1"/>
        <v>465792.68532700173</v>
      </c>
      <c r="F53" s="46">
        <f t="shared" si="2"/>
        <v>1169583.0476731309</v>
      </c>
      <c r="G53" s="46">
        <f t="shared" si="3"/>
        <v>24998545.341484267</v>
      </c>
    </row>
    <row r="54" spans="3:7" x14ac:dyDescent="0.2">
      <c r="C54" s="86">
        <f t="shared" si="0"/>
        <v>43</v>
      </c>
      <c r="D54" s="46">
        <f t="shared" si="4"/>
        <v>1635375.7330001327</v>
      </c>
      <c r="E54" s="46">
        <f t="shared" si="1"/>
        <v>444974.10707841994</v>
      </c>
      <c r="F54" s="46">
        <f t="shared" si="2"/>
        <v>1190401.6259217127</v>
      </c>
      <c r="G54" s="46">
        <f t="shared" si="3"/>
        <v>23808143.715562556</v>
      </c>
    </row>
    <row r="55" spans="3:7" x14ac:dyDescent="0.2">
      <c r="C55" s="86">
        <f t="shared" si="0"/>
        <v>44</v>
      </c>
      <c r="D55" s="46">
        <f t="shared" si="4"/>
        <v>1635375.7330001327</v>
      </c>
      <c r="E55" s="46">
        <f t="shared" si="1"/>
        <v>423784.95813701348</v>
      </c>
      <c r="F55" s="46">
        <f t="shared" si="2"/>
        <v>1211590.7748631192</v>
      </c>
      <c r="G55" s="46">
        <f t="shared" si="3"/>
        <v>22596552.940699436</v>
      </c>
    </row>
    <row r="56" spans="3:7" x14ac:dyDescent="0.2">
      <c r="C56" s="86">
        <f t="shared" si="0"/>
        <v>45</v>
      </c>
      <c r="D56" s="46">
        <f t="shared" si="4"/>
        <v>1635375.7330001327</v>
      </c>
      <c r="E56" s="46">
        <f t="shared" si="1"/>
        <v>402218.64234444994</v>
      </c>
      <c r="F56" s="46">
        <f t="shared" si="2"/>
        <v>1233157.0906556828</v>
      </c>
      <c r="G56" s="46">
        <f t="shared" si="3"/>
        <v>21363395.850043751</v>
      </c>
    </row>
    <row r="57" spans="3:7" x14ac:dyDescent="0.2">
      <c r="C57" s="86">
        <f t="shared" si="0"/>
        <v>46</v>
      </c>
      <c r="D57" s="46">
        <f t="shared" si="4"/>
        <v>1635375.7330001327</v>
      </c>
      <c r="E57" s="46">
        <f t="shared" si="1"/>
        <v>380268.44613077876</v>
      </c>
      <c r="F57" s="46">
        <f t="shared" si="2"/>
        <v>1255107.2868693541</v>
      </c>
      <c r="G57" s="46">
        <f t="shared" si="3"/>
        <v>20108288.563174397</v>
      </c>
    </row>
    <row r="58" spans="3:7" x14ac:dyDescent="0.2">
      <c r="C58" s="86">
        <f t="shared" si="0"/>
        <v>47</v>
      </c>
      <c r="D58" s="46">
        <f t="shared" si="4"/>
        <v>1635375.7330001327</v>
      </c>
      <c r="E58" s="46">
        <f t="shared" si="1"/>
        <v>357927.53642450424</v>
      </c>
      <c r="F58" s="46">
        <f t="shared" si="2"/>
        <v>1277448.1965756286</v>
      </c>
      <c r="G58" s="46">
        <f t="shared" si="3"/>
        <v>18830840.36659877</v>
      </c>
    </row>
    <row r="59" spans="3:7" x14ac:dyDescent="0.2">
      <c r="C59" s="86">
        <f t="shared" si="0"/>
        <v>48</v>
      </c>
      <c r="D59" s="46">
        <f t="shared" si="4"/>
        <v>1635375.7330001327</v>
      </c>
      <c r="E59" s="46">
        <f t="shared" si="1"/>
        <v>335188.95852545812</v>
      </c>
      <c r="F59" s="46">
        <f t="shared" si="2"/>
        <v>1300186.7744746746</v>
      </c>
      <c r="G59" s="46">
        <f t="shared" si="3"/>
        <v>17530653.592124097</v>
      </c>
    </row>
    <row r="60" spans="3:7" x14ac:dyDescent="0.2">
      <c r="C60" s="86">
        <f t="shared" si="0"/>
        <v>49</v>
      </c>
      <c r="D60" s="46">
        <f t="shared" si="4"/>
        <v>1635375.7330001327</v>
      </c>
      <c r="E60" s="46">
        <f t="shared" si="1"/>
        <v>312045.63393980893</v>
      </c>
      <c r="F60" s="46">
        <f t="shared" si="2"/>
        <v>1323330.0990603238</v>
      </c>
      <c r="G60" s="46">
        <f t="shared" si="3"/>
        <v>16207323.493063774</v>
      </c>
    </row>
    <row r="61" spans="3:7" x14ac:dyDescent="0.2">
      <c r="C61" s="86">
        <f t="shared" si="0"/>
        <v>50</v>
      </c>
      <c r="D61" s="46">
        <f t="shared" si="4"/>
        <v>1635375.7330001327</v>
      </c>
      <c r="E61" s="46">
        <f t="shared" si="1"/>
        <v>288490.35817653517</v>
      </c>
      <c r="F61" s="46">
        <f t="shared" si="2"/>
        <v>1346885.3748235975</v>
      </c>
      <c r="G61" s="46">
        <f t="shared" si="3"/>
        <v>14860438.118240176</v>
      </c>
    </row>
    <row r="62" spans="3:7" x14ac:dyDescent="0.2">
      <c r="C62" s="86">
        <f t="shared" si="0"/>
        <v>51</v>
      </c>
      <c r="D62" s="46">
        <f t="shared" si="4"/>
        <v>1635375.7330001327</v>
      </c>
      <c r="E62" s="46">
        <f t="shared" si="1"/>
        <v>264515.7985046751</v>
      </c>
      <c r="F62" s="46">
        <f t="shared" si="2"/>
        <v>1370859.9344954577</v>
      </c>
      <c r="G62" s="46">
        <f t="shared" si="3"/>
        <v>13489578.183744717</v>
      </c>
    </row>
    <row r="63" spans="3:7" x14ac:dyDescent="0.2">
      <c r="C63" s="86">
        <f t="shared" si="0"/>
        <v>52</v>
      </c>
      <c r="D63" s="46">
        <f t="shared" si="4"/>
        <v>1635375.7330001327</v>
      </c>
      <c r="E63" s="46">
        <f t="shared" si="1"/>
        <v>240114.49167065596</v>
      </c>
      <c r="F63" s="46">
        <f t="shared" si="2"/>
        <v>1395261.2413294767</v>
      </c>
      <c r="G63" s="46">
        <f t="shared" si="3"/>
        <v>12094316.942415241</v>
      </c>
    </row>
    <row r="64" spans="3:7" x14ac:dyDescent="0.2">
      <c r="C64" s="86">
        <f t="shared" si="0"/>
        <v>53</v>
      </c>
      <c r="D64" s="46">
        <f t="shared" si="4"/>
        <v>1635375.7330001327</v>
      </c>
      <c r="E64" s="46">
        <f t="shared" si="1"/>
        <v>215278.8415749913</v>
      </c>
      <c r="F64" s="46">
        <f t="shared" si="2"/>
        <v>1420096.8914251414</v>
      </c>
      <c r="G64" s="46">
        <f t="shared" si="3"/>
        <v>10674220.050990099</v>
      </c>
    </row>
    <row r="65" spans="3:7" x14ac:dyDescent="0.2">
      <c r="C65" s="86">
        <f t="shared" si="0"/>
        <v>54</v>
      </c>
      <c r="D65" s="46">
        <f t="shared" si="4"/>
        <v>1635375.7330001327</v>
      </c>
      <c r="E65" s="46">
        <f t="shared" si="1"/>
        <v>190001.11690762377</v>
      </c>
      <c r="F65" s="46">
        <f t="shared" si="2"/>
        <v>1445374.6160925089</v>
      </c>
      <c r="G65" s="46">
        <f t="shared" si="3"/>
        <v>9228845.4348975904</v>
      </c>
    </row>
    <row r="66" spans="3:7" x14ac:dyDescent="0.2">
      <c r="C66" s="86">
        <f t="shared" si="0"/>
        <v>55</v>
      </c>
      <c r="D66" s="46">
        <f t="shared" si="4"/>
        <v>1635375.7330001327</v>
      </c>
      <c r="E66" s="46">
        <f t="shared" si="1"/>
        <v>164273.4487411771</v>
      </c>
      <c r="F66" s="46">
        <f t="shared" si="2"/>
        <v>1471102.2842589556</v>
      </c>
      <c r="G66" s="46">
        <f t="shared" si="3"/>
        <v>7757743.1506386343</v>
      </c>
    </row>
    <row r="67" spans="3:7" x14ac:dyDescent="0.2">
      <c r="C67" s="86">
        <f t="shared" si="0"/>
        <v>56</v>
      </c>
      <c r="D67" s="46">
        <f t="shared" si="4"/>
        <v>1635375.7330001327</v>
      </c>
      <c r="E67" s="46">
        <f t="shared" si="1"/>
        <v>138087.82808136768</v>
      </c>
      <c r="F67" s="46">
        <f t="shared" si="2"/>
        <v>1497287.904918765</v>
      </c>
      <c r="G67" s="46">
        <f t="shared" si="3"/>
        <v>6260455.2457198696</v>
      </c>
    </row>
    <row r="68" spans="3:7" x14ac:dyDescent="0.2">
      <c r="C68" s="86">
        <f t="shared" si="0"/>
        <v>57</v>
      </c>
      <c r="D68" s="46">
        <f t="shared" si="4"/>
        <v>1635375.7330001327</v>
      </c>
      <c r="E68" s="46">
        <f t="shared" si="1"/>
        <v>111436.10337381368</v>
      </c>
      <c r="F68" s="46">
        <f t="shared" si="2"/>
        <v>1523939.629626319</v>
      </c>
      <c r="G68" s="46">
        <f t="shared" si="3"/>
        <v>4736515.6160935508</v>
      </c>
    </row>
    <row r="69" spans="3:7" x14ac:dyDescent="0.2">
      <c r="C69" s="86">
        <f t="shared" si="0"/>
        <v>58</v>
      </c>
      <c r="D69" s="46">
        <f t="shared" si="4"/>
        <v>1635375.7330001327</v>
      </c>
      <c r="E69" s="46">
        <f t="shared" si="1"/>
        <v>84309.977966465201</v>
      </c>
      <c r="F69" s="46">
        <f t="shared" si="2"/>
        <v>1551065.7550336674</v>
      </c>
      <c r="G69" s="46">
        <f t="shared" si="3"/>
        <v>3185449.8610598836</v>
      </c>
    </row>
    <row r="70" spans="3:7" x14ac:dyDescent="0.2">
      <c r="C70" s="86">
        <f t="shared" si="0"/>
        <v>59</v>
      </c>
      <c r="D70" s="46">
        <f t="shared" si="4"/>
        <v>1635375.7330001327</v>
      </c>
      <c r="E70" s="46">
        <f t="shared" si="1"/>
        <v>56701.007526865928</v>
      </c>
      <c r="F70" s="46">
        <f t="shared" si="2"/>
        <v>1578674.7254732668</v>
      </c>
      <c r="G70" s="46">
        <f t="shared" si="3"/>
        <v>1606775.1355866168</v>
      </c>
    </row>
    <row r="71" spans="3:7" x14ac:dyDescent="0.2">
      <c r="C71" s="86">
        <f t="shared" si="0"/>
        <v>60</v>
      </c>
      <c r="D71" s="46">
        <f t="shared" si="4"/>
        <v>1635375.7330001327</v>
      </c>
      <c r="E71" s="46">
        <f t="shared" si="1"/>
        <v>28600.597413441777</v>
      </c>
      <c r="F71" s="46">
        <f t="shared" si="2"/>
        <v>1606775.1355866909</v>
      </c>
      <c r="G71" s="46">
        <f>G70-F71</f>
        <v>-7.4040144681930542E-8</v>
      </c>
    </row>
  </sheetData>
  <mergeCells count="5">
    <mergeCell ref="D2:G2"/>
    <mergeCell ref="D3:E3"/>
    <mergeCell ref="D4:E4"/>
    <mergeCell ref="D5:E5"/>
    <mergeCell ref="D6:E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BC8C-E145-43E7-B31E-9A9DBA293618}">
  <dimension ref="A1:F16"/>
  <sheetViews>
    <sheetView topLeftCell="A6" zoomScale="86" workbookViewId="0">
      <selection activeCell="D22" sqref="D22"/>
    </sheetView>
  </sheetViews>
  <sheetFormatPr baseColWidth="10" defaultRowHeight="15" x14ac:dyDescent="0.2"/>
  <cols>
    <col min="1" max="1" width="29.6640625" customWidth="1"/>
    <col min="2" max="6" width="23.5" customWidth="1"/>
  </cols>
  <sheetData>
    <row r="1" spans="1:6" x14ac:dyDescent="0.2">
      <c r="A1" s="79" t="s">
        <v>163</v>
      </c>
      <c r="B1" s="80">
        <v>2025</v>
      </c>
      <c r="C1" s="80">
        <v>2026</v>
      </c>
      <c r="D1" s="80">
        <v>2027</v>
      </c>
      <c r="E1" s="80">
        <v>2028</v>
      </c>
      <c r="F1" s="80">
        <v>2029</v>
      </c>
    </row>
    <row r="2" spans="1:6" ht="16" x14ac:dyDescent="0.2">
      <c r="A2" s="81" t="s">
        <v>164</v>
      </c>
      <c r="B2" s="82">
        <f>'Proyecciones (Ventas y MP)'!C115</f>
        <v>685950736.2248733</v>
      </c>
      <c r="C2" s="82">
        <f>'Proyecciones (Ventas y MP)'!D115</f>
        <v>785829145.92733026</v>
      </c>
      <c r="D2" s="82">
        <f>'Proyecciones (Ventas y MP)'!E115</f>
        <v>900286418.06395197</v>
      </c>
      <c r="E2" s="82">
        <f>'Proyecciones (Ventas y MP)'!F115</f>
        <v>1031456182.8485806</v>
      </c>
      <c r="F2" s="82">
        <f>'Proyecciones (Ventas y MP)'!G115</f>
        <v>1181785201.8249881</v>
      </c>
    </row>
    <row r="3" spans="1:6" ht="16" x14ac:dyDescent="0.2">
      <c r="A3" s="81" t="s">
        <v>165</v>
      </c>
      <c r="B3" s="82">
        <f>'Proyecciones (Ventas y MP)'!C120</f>
        <v>301801256.97035307</v>
      </c>
      <c r="C3" s="82">
        <f>'Proyecciones (Ventas y MP)'!D120</f>
        <v>345823365.94606769</v>
      </c>
      <c r="D3" s="82">
        <f>'Proyecciones (Ventas y MP)'!E120</f>
        <v>396283385.98601282</v>
      </c>
      <c r="E3" s="82">
        <f>'Proyecciones (Ventas y MP)'!F120</f>
        <v>454125404.93717104</v>
      </c>
      <c r="F3" s="82">
        <f>'Proyecciones (Ventas y MP)'!G120</f>
        <v>520432358.57985115</v>
      </c>
    </row>
    <row r="4" spans="1:6" ht="16" x14ac:dyDescent="0.2">
      <c r="A4" s="81" t="s">
        <v>99</v>
      </c>
      <c r="B4" s="82">
        <f>'Mano de obra'!F31</f>
        <v>61164531.648000002</v>
      </c>
      <c r="C4" s="82">
        <f>B4*(1+'Proyecciones (Ventas y MP)'!$C$2)</f>
        <v>65874200.584895998</v>
      </c>
      <c r="D4" s="82">
        <f>C4*(1+'Proyecciones (Ventas y MP)'!$C$2)</f>
        <v>70946514.029932991</v>
      </c>
      <c r="E4" s="82">
        <f>D4*(1+'Proyecciones (Ventas y MP)'!$C$2)</f>
        <v>76409395.610237822</v>
      </c>
      <c r="F4" s="82">
        <f>E4*(1+'Proyecciones (Ventas y MP)'!$C$2)</f>
        <v>82292919.072226137</v>
      </c>
    </row>
    <row r="5" spans="1:6" ht="16" x14ac:dyDescent="0.2">
      <c r="A5" s="81" t="s">
        <v>100</v>
      </c>
      <c r="B5" s="82">
        <f>'Depreciaciones, GA, GV, CIFs'!D56</f>
        <v>68990866.266712546</v>
      </c>
      <c r="C5" s="82">
        <f>B5*(1+'Proyecciones (Ventas y MP)'!$C$2)</f>
        <v>74303162.969249412</v>
      </c>
      <c r="D5" s="82">
        <f>C5*(1+'Proyecciones (Ventas y MP)'!$C$2)</f>
        <v>80024506.517881617</v>
      </c>
      <c r="E5" s="82">
        <f>D5*(1+'Proyecciones (Ventas y MP)'!$C$2)</f>
        <v>86186393.519758493</v>
      </c>
      <c r="F5" s="82">
        <f>E5*(1+'Proyecciones (Ventas y MP)'!$C$2)</f>
        <v>92822745.82077989</v>
      </c>
    </row>
    <row r="6" spans="1:6" x14ac:dyDescent="0.2">
      <c r="A6" s="83" t="s">
        <v>166</v>
      </c>
      <c r="B6" s="84">
        <f>+B2-B3-B4-B5</f>
        <v>253994081.33980769</v>
      </c>
      <c r="C6" s="84">
        <f>+C2-C3-C4-C5</f>
        <v>299828416.42711717</v>
      </c>
      <c r="D6" s="84">
        <f>+D2-D3-D4-D5</f>
        <v>353032011.53012455</v>
      </c>
      <c r="E6" s="84">
        <f>+E2-E3-E4-E5</f>
        <v>414734988.78141332</v>
      </c>
      <c r="F6" s="84">
        <f>+F2-F3-F4-F5</f>
        <v>486237178.35213089</v>
      </c>
    </row>
    <row r="7" spans="1:6" ht="16" x14ac:dyDescent="0.2">
      <c r="A7" s="81" t="s">
        <v>108</v>
      </c>
      <c r="B7" s="82">
        <f>'Depreciaciones, GA, GV, CIFs'!D80</f>
        <v>115715690.27419072</v>
      </c>
      <c r="C7" s="82">
        <f>B7*(1+'Proyecciones (Ventas y MP)'!$C$2)</f>
        <v>124625798.4253034</v>
      </c>
      <c r="D7" s="82">
        <f>C7*(1+'Proyecciones (Ventas y MP)'!$C$2)</f>
        <v>134221984.90405175</v>
      </c>
      <c r="E7" s="82">
        <f>D7*(1+'Proyecciones (Ventas y MP)'!$C$2)</f>
        <v>144557077.74166372</v>
      </c>
      <c r="F7" s="82">
        <f>E7*(1+'Proyecciones (Ventas y MP)'!$C$2)</f>
        <v>155687972.72777182</v>
      </c>
    </row>
    <row r="8" spans="1:6" ht="16" x14ac:dyDescent="0.2">
      <c r="A8" s="81" t="s">
        <v>167</v>
      </c>
      <c r="B8" s="82">
        <f>'Depreciaciones, GA, GV, CIFs'!D103</f>
        <v>137614542.90500426</v>
      </c>
      <c r="C8" s="82">
        <f>B8*(1+'Proyecciones (Ventas y MP)'!$C$2)</f>
        <v>148210862.70868957</v>
      </c>
      <c r="D8" s="82">
        <f>C8*(1+'Proyecciones (Ventas y MP)'!$C$2)</f>
        <v>159623099.13725865</v>
      </c>
      <c r="E8" s="82">
        <f>D8*(1+'Proyecciones (Ventas y MP)'!$C$2)</f>
        <v>171914077.77082756</v>
      </c>
      <c r="F8" s="82">
        <f>E8*(1+'Proyecciones (Ventas y MP)'!$C$2)</f>
        <v>185151461.75918129</v>
      </c>
    </row>
    <row r="9" spans="1:6" x14ac:dyDescent="0.2">
      <c r="A9" s="83" t="s">
        <v>168</v>
      </c>
      <c r="B9" s="84">
        <f>+B6-B7-B8</f>
        <v>663848.16061270237</v>
      </c>
      <c r="C9" s="84">
        <f>+C6-C7-C8</f>
        <v>26991755.293124199</v>
      </c>
      <c r="D9" s="84">
        <f>+D6-D7-D8</f>
        <v>59186927.488814145</v>
      </c>
      <c r="E9" s="84">
        <f>+E6-E7-E8</f>
        <v>98263833.268922061</v>
      </c>
      <c r="F9" s="84">
        <f>+F6-F7-F8</f>
        <v>145397743.86517778</v>
      </c>
    </row>
    <row r="10" spans="1:6" ht="16" x14ac:dyDescent="0.2">
      <c r="A10" s="81" t="s">
        <v>102</v>
      </c>
      <c r="B10" s="82">
        <f>Préstamo!$K12</f>
        <v>12108268.185389251</v>
      </c>
      <c r="C10" s="82">
        <f>Préstamo!$K13</f>
        <v>10335913.677736081</v>
      </c>
      <c r="D10" s="82">
        <f>Préstamo!$K14</f>
        <v>8145632.0887753619</v>
      </c>
      <c r="E10" s="82">
        <f>Préstamo!$K15</f>
        <v>5438874.8242297992</v>
      </c>
      <c r="F10" s="82">
        <f>Préstamo!$K16</f>
        <v>2093855.203877422</v>
      </c>
    </row>
    <row r="11" spans="1:6" ht="16" x14ac:dyDescent="0.2">
      <c r="A11" s="81" t="s">
        <v>169</v>
      </c>
      <c r="B11" s="85">
        <f>B2*0.004</f>
        <v>2743802.9448994934</v>
      </c>
      <c r="C11" s="85">
        <f t="shared" ref="C11:F11" si="0">C2*0.004</f>
        <v>3143316.583709321</v>
      </c>
      <c r="D11" s="85">
        <f t="shared" si="0"/>
        <v>3601145.672255808</v>
      </c>
      <c r="E11" s="85">
        <f t="shared" si="0"/>
        <v>4125824.7313943226</v>
      </c>
      <c r="F11" s="85">
        <f t="shared" si="0"/>
        <v>4727140.807299953</v>
      </c>
    </row>
    <row r="12" spans="1:6" x14ac:dyDescent="0.2">
      <c r="A12" s="83" t="s">
        <v>170</v>
      </c>
      <c r="B12" s="84">
        <f>+B9-B10-B11</f>
        <v>-14188222.969676042</v>
      </c>
      <c r="C12" s="84">
        <f>+C9-C10-C11</f>
        <v>13512525.031678796</v>
      </c>
      <c r="D12" s="84">
        <f>+D9-D10-D11</f>
        <v>47440149.72778298</v>
      </c>
      <c r="E12" s="84">
        <f>+E9-E10-E11</f>
        <v>88699133.713297933</v>
      </c>
      <c r="F12" s="84">
        <f>+F9-F10-F11</f>
        <v>138576747.85400042</v>
      </c>
    </row>
    <row r="13" spans="1:6" ht="16" x14ac:dyDescent="0.2">
      <c r="A13" s="81" t="s">
        <v>171</v>
      </c>
      <c r="B13" s="82">
        <f>+B12*32%</f>
        <v>-4540231.3502963334</v>
      </c>
      <c r="C13" s="82">
        <f>+C12*32%</f>
        <v>4324008.0101372143</v>
      </c>
      <c r="D13" s="82">
        <f>+D12*32%</f>
        <v>15180847.912890553</v>
      </c>
      <c r="E13" s="82">
        <f>+E12*32%</f>
        <v>28383722.788255338</v>
      </c>
      <c r="F13" s="82">
        <f>+F12*32%</f>
        <v>44344559.313280135</v>
      </c>
    </row>
    <row r="14" spans="1:6" x14ac:dyDescent="0.2">
      <c r="A14" s="145" t="s">
        <v>172</v>
      </c>
      <c r="B14" s="146">
        <f>+B12-B13</f>
        <v>-9647991.6193797085</v>
      </c>
      <c r="C14" s="146">
        <f>+C12-C13</f>
        <v>9188517.0215415806</v>
      </c>
      <c r="D14" s="146">
        <f>+D12-D13</f>
        <v>32259301.814892426</v>
      </c>
      <c r="E14" s="146">
        <f>+E12-E13</f>
        <v>60315410.925042599</v>
      </c>
      <c r="F14" s="146">
        <f>+F12-F13</f>
        <v>94232188.540720284</v>
      </c>
    </row>
    <row r="16" spans="1:6" x14ac:dyDescent="0.2">
      <c r="B16" s="35"/>
    </row>
  </sheetData>
  <pageMargins left="0.7" right="0.7" top="0.75" bottom="0.75" header="0.3" footer="0.3"/>
  <ignoredErrors>
    <ignoredError sqref="C6:F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B1C0-00ED-4FF9-AE5B-57F3021A5894}">
  <dimension ref="A2:I46"/>
  <sheetViews>
    <sheetView zoomScale="64" zoomScaleNormal="70" workbookViewId="0">
      <selection activeCell="J27" sqref="J27"/>
    </sheetView>
  </sheetViews>
  <sheetFormatPr baseColWidth="10" defaultRowHeight="15" x14ac:dyDescent="0.2"/>
  <cols>
    <col min="1" max="1" width="55.1640625" bestFit="1" customWidth="1"/>
    <col min="2" max="5" width="22.33203125" bestFit="1" customWidth="1"/>
    <col min="6" max="7" width="24.6640625" bestFit="1" customWidth="1"/>
  </cols>
  <sheetData>
    <row r="2" spans="1:7" ht="20" x14ac:dyDescent="0.2">
      <c r="A2" s="202"/>
      <c r="B2" s="133" t="s">
        <v>215</v>
      </c>
      <c r="C2" s="133" t="s">
        <v>216</v>
      </c>
      <c r="D2" s="133" t="s">
        <v>216</v>
      </c>
      <c r="E2" s="133" t="s">
        <v>216</v>
      </c>
      <c r="F2" s="133" t="s">
        <v>216</v>
      </c>
      <c r="G2" s="133" t="s">
        <v>216</v>
      </c>
    </row>
    <row r="3" spans="1:7" ht="20" x14ac:dyDescent="0.2">
      <c r="A3" s="202"/>
      <c r="B3" s="134">
        <v>0</v>
      </c>
      <c r="C3" s="134">
        <v>1</v>
      </c>
      <c r="D3" s="134">
        <v>2</v>
      </c>
      <c r="E3" s="134">
        <v>3</v>
      </c>
      <c r="F3" s="134">
        <v>4</v>
      </c>
      <c r="G3" s="134">
        <v>5</v>
      </c>
    </row>
    <row r="4" spans="1:7" ht="20" x14ac:dyDescent="0.2">
      <c r="A4" s="135" t="s">
        <v>217</v>
      </c>
      <c r="B4" s="136"/>
      <c r="C4" s="136">
        <f>'Estados de resultados'!B2</f>
        <v>685950736.2248733</v>
      </c>
      <c r="D4" s="136">
        <f>'Estados de resultados'!C2</f>
        <v>785829145.92733026</v>
      </c>
      <c r="E4" s="136">
        <f>'Estados de resultados'!D2</f>
        <v>900286418.06395197</v>
      </c>
      <c r="F4" s="136">
        <f>'Estados de resultados'!E2</f>
        <v>1031456182.8485806</v>
      </c>
      <c r="G4" s="136">
        <f>'Estados de resultados'!F2</f>
        <v>1181785201.8249881</v>
      </c>
    </row>
    <row r="5" spans="1:7" ht="20" x14ac:dyDescent="0.2">
      <c r="A5" s="137" t="s">
        <v>218</v>
      </c>
      <c r="B5" s="138"/>
      <c r="C5" s="138">
        <f>C4</f>
        <v>685950736.2248733</v>
      </c>
      <c r="D5" s="138">
        <f>D4</f>
        <v>785829145.92733026</v>
      </c>
      <c r="E5" s="138">
        <f>E4</f>
        <v>900286418.06395197</v>
      </c>
      <c r="F5" s="138">
        <f>F4</f>
        <v>1031456182.8485806</v>
      </c>
      <c r="G5" s="138">
        <f>G4</f>
        <v>1181785201.8249881</v>
      </c>
    </row>
    <row r="6" spans="1:7" ht="20" x14ac:dyDescent="0.2">
      <c r="A6" s="201" t="s">
        <v>219</v>
      </c>
      <c r="B6" s="201"/>
      <c r="C6" s="201"/>
      <c r="D6" s="201"/>
      <c r="E6" s="201"/>
      <c r="F6" s="201"/>
      <c r="G6" s="201"/>
    </row>
    <row r="7" spans="1:7" ht="20" x14ac:dyDescent="0.2">
      <c r="A7" s="135" t="s">
        <v>220</v>
      </c>
      <c r="B7" s="136"/>
      <c r="C7" s="136">
        <f>'Estados de resultados'!B3</f>
        <v>301801256.97035307</v>
      </c>
      <c r="D7" s="136">
        <f>'Estados de resultados'!C3</f>
        <v>345823365.94606769</v>
      </c>
      <c r="E7" s="136">
        <f>'Estados de resultados'!D3</f>
        <v>396283385.98601282</v>
      </c>
      <c r="F7" s="136">
        <f>'Estados de resultados'!E3</f>
        <v>454125404.93717104</v>
      </c>
      <c r="G7" s="136">
        <f>'Estados de resultados'!F3</f>
        <v>520432358.57985115</v>
      </c>
    </row>
    <row r="8" spans="1:7" ht="20" x14ac:dyDescent="0.2">
      <c r="A8" s="135" t="s">
        <v>221</v>
      </c>
      <c r="B8" s="136"/>
      <c r="C8" s="136">
        <f>'Estados de resultados'!B4</f>
        <v>61164531.648000002</v>
      </c>
      <c r="D8" s="136">
        <f>'Estados de resultados'!C4</f>
        <v>65874200.584895998</v>
      </c>
      <c r="E8" s="136">
        <f>'Estados de resultados'!D4</f>
        <v>70946514.029932991</v>
      </c>
      <c r="F8" s="136">
        <f>'Estados de resultados'!E4</f>
        <v>76409395.610237822</v>
      </c>
      <c r="G8" s="136">
        <f>'Estados de resultados'!F4</f>
        <v>82292919.072226137</v>
      </c>
    </row>
    <row r="9" spans="1:7" ht="20" x14ac:dyDescent="0.2">
      <c r="A9" s="135" t="s">
        <v>222</v>
      </c>
      <c r="B9" s="136"/>
      <c r="C9" s="136">
        <f>'Estados de resultados'!B5</f>
        <v>68990866.266712546</v>
      </c>
      <c r="D9" s="136">
        <f>'Estados de resultados'!C5</f>
        <v>74303162.969249412</v>
      </c>
      <c r="E9" s="136">
        <f>'Estados de resultados'!D5</f>
        <v>80024506.517881617</v>
      </c>
      <c r="F9" s="136">
        <f>'Estados de resultados'!E5</f>
        <v>86186393.519758493</v>
      </c>
      <c r="G9" s="136">
        <f>'Estados de resultados'!F5</f>
        <v>92822745.82077989</v>
      </c>
    </row>
    <row r="10" spans="1:7" ht="20" x14ac:dyDescent="0.2">
      <c r="A10" s="135" t="s">
        <v>223</v>
      </c>
      <c r="B10" s="136"/>
      <c r="C10" s="136">
        <f>'Depreciaciones, GA, GV, CIFs'!E40*12</f>
        <v>1483800</v>
      </c>
      <c r="D10" s="136">
        <f>$C$10</f>
        <v>1483800</v>
      </c>
      <c r="E10" s="136">
        <f>$C$10</f>
        <v>1483800</v>
      </c>
      <c r="F10" s="136">
        <f>$C$10</f>
        <v>1483800</v>
      </c>
      <c r="G10" s="136">
        <f>$C$10</f>
        <v>1483800</v>
      </c>
    </row>
    <row r="11" spans="1:7" ht="20" x14ac:dyDescent="0.2">
      <c r="A11" s="137" t="s">
        <v>224</v>
      </c>
      <c r="B11" s="138"/>
      <c r="C11" s="138">
        <f>C7+C8+C9-C10</f>
        <v>430472854.88506562</v>
      </c>
      <c r="D11" s="138">
        <f t="shared" ref="D11:F11" si="0">D7+D8+D9-D10</f>
        <v>484516929.50021309</v>
      </c>
      <c r="E11" s="138">
        <f t="shared" si="0"/>
        <v>545770606.53382742</v>
      </c>
      <c r="F11" s="138">
        <f t="shared" si="0"/>
        <v>615237394.0671674</v>
      </c>
      <c r="G11" s="138">
        <f>G7+G8+G9-G10</f>
        <v>694064223.47285724</v>
      </c>
    </row>
    <row r="12" spans="1:7" ht="20" x14ac:dyDescent="0.2">
      <c r="A12" s="137" t="s">
        <v>225</v>
      </c>
      <c r="B12" s="138"/>
      <c r="C12" s="138">
        <f>C5-C11</f>
        <v>255477881.33980769</v>
      </c>
      <c r="D12" s="138">
        <f>D5-D11</f>
        <v>301312216.42711717</v>
      </c>
      <c r="E12" s="138">
        <f>E5-E11</f>
        <v>354515811.53012455</v>
      </c>
      <c r="F12" s="138">
        <f>F5-F11</f>
        <v>416218788.7814132</v>
      </c>
      <c r="G12" s="138">
        <f>G5-G11</f>
        <v>487720978.35213089</v>
      </c>
    </row>
    <row r="13" spans="1:7" ht="20" x14ac:dyDescent="0.2">
      <c r="A13" s="201" t="s">
        <v>226</v>
      </c>
      <c r="B13" s="201"/>
      <c r="C13" s="201"/>
      <c r="D13" s="201"/>
      <c r="E13" s="201"/>
      <c r="F13" s="201"/>
      <c r="G13" s="201"/>
    </row>
    <row r="14" spans="1:7" ht="20" x14ac:dyDescent="0.2">
      <c r="A14" s="135" t="s">
        <v>227</v>
      </c>
      <c r="B14" s="136"/>
      <c r="C14" s="136">
        <f>'Estados de resultados'!B7+'Estados de resultados'!B8</f>
        <v>253330233.17919499</v>
      </c>
      <c r="D14" s="136">
        <f>'Estados de resultados'!C7+'Estados de resultados'!C8</f>
        <v>272836661.13399297</v>
      </c>
      <c r="E14" s="136">
        <f>'Estados de resultados'!D7+'Estados de resultados'!D8</f>
        <v>293845084.04131043</v>
      </c>
      <c r="F14" s="136">
        <f>'Estados de resultados'!E7+'Estados de resultados'!E8</f>
        <v>316471155.51249129</v>
      </c>
      <c r="G14" s="136">
        <f>'Estados de resultados'!F7+'Estados de resultados'!F8</f>
        <v>340839434.48695314</v>
      </c>
    </row>
    <row r="15" spans="1:7" ht="20" x14ac:dyDescent="0.2">
      <c r="A15" s="135" t="s">
        <v>223</v>
      </c>
      <c r="B15" s="136"/>
      <c r="C15" s="136">
        <f>('Depreciaciones, GA, GV, CIFs'!E65*12)+('Depreciaciones, GA, GV, CIFs'!E89*12)</f>
        <v>3702700</v>
      </c>
      <c r="D15" s="136">
        <f>$C$15</f>
        <v>3702700</v>
      </c>
      <c r="E15" s="136">
        <f>$C$15</f>
        <v>3702700</v>
      </c>
      <c r="F15" s="136">
        <f>$C$15</f>
        <v>3702700</v>
      </c>
      <c r="G15" s="136">
        <f>$C$15</f>
        <v>3702700</v>
      </c>
    </row>
    <row r="16" spans="1:7" ht="20" x14ac:dyDescent="0.2">
      <c r="A16" s="135" t="s">
        <v>228</v>
      </c>
      <c r="B16" s="136"/>
      <c r="C16" s="136"/>
      <c r="D16" s="136">
        <f>'Estados de resultados'!B13</f>
        <v>-4540231.3502963334</v>
      </c>
      <c r="E16" s="136">
        <f>'Estados de resultados'!C13</f>
        <v>4324008.0101372143</v>
      </c>
      <c r="F16" s="136">
        <f>'Estados de resultados'!D13</f>
        <v>15180847.912890553</v>
      </c>
      <c r="G16" s="136">
        <f>'Estados de resultados'!E13</f>
        <v>28383722.788255338</v>
      </c>
    </row>
    <row r="17" spans="1:7" ht="20" x14ac:dyDescent="0.2">
      <c r="A17" s="137" t="s">
        <v>229</v>
      </c>
      <c r="B17" s="138"/>
      <c r="C17" s="138">
        <f>C14-C15+C16</f>
        <v>249627533.17919499</v>
      </c>
      <c r="D17" s="138">
        <f t="shared" ref="D17:G17" si="1">D14-D15+D16</f>
        <v>264593729.78369665</v>
      </c>
      <c r="E17" s="138">
        <f t="shared" si="1"/>
        <v>294466392.05144763</v>
      </c>
      <c r="F17" s="138">
        <f t="shared" si="1"/>
        <v>327949303.42538184</v>
      </c>
      <c r="G17" s="138">
        <f t="shared" si="1"/>
        <v>365520457.27520847</v>
      </c>
    </row>
    <row r="18" spans="1:7" ht="20" x14ac:dyDescent="0.2">
      <c r="A18" s="137" t="s">
        <v>230</v>
      </c>
      <c r="B18" s="138"/>
      <c r="C18" s="139">
        <f>C12-C17</f>
        <v>5850348.1606127024</v>
      </c>
      <c r="D18" s="139">
        <f>D12-D17</f>
        <v>36718486.643420517</v>
      </c>
      <c r="E18" s="139">
        <f>E12-E17</f>
        <v>60049419.478676915</v>
      </c>
      <c r="F18" s="139">
        <f>F12-F17</f>
        <v>88269485.356031358</v>
      </c>
      <c r="G18" s="139">
        <f>G12-G17</f>
        <v>122200521.07692242</v>
      </c>
    </row>
    <row r="19" spans="1:7" ht="20" x14ac:dyDescent="0.2">
      <c r="A19" s="201" t="s">
        <v>231</v>
      </c>
      <c r="B19" s="201"/>
      <c r="C19" s="201"/>
      <c r="D19" s="201"/>
      <c r="E19" s="201"/>
      <c r="F19" s="201"/>
      <c r="G19" s="201"/>
    </row>
    <row r="20" spans="1:7" ht="20" x14ac:dyDescent="0.2">
      <c r="A20" s="135" t="s">
        <v>232</v>
      </c>
      <c r="B20" s="136">
        <f>'Inversiones iniciales'!D8</f>
        <v>48705000</v>
      </c>
      <c r="C20" s="136">
        <f>B20</f>
        <v>48705000</v>
      </c>
      <c r="D20" s="136"/>
      <c r="E20" s="136"/>
      <c r="F20" s="136"/>
      <c r="G20" s="136"/>
    </row>
    <row r="21" spans="1:7" ht="20" x14ac:dyDescent="0.2">
      <c r="A21" s="135" t="s">
        <v>233</v>
      </c>
      <c r="B21" s="136">
        <f>'Inversiones iniciales'!D82</f>
        <v>55926085.086459875</v>
      </c>
      <c r="C21" s="136">
        <f>B21</f>
        <v>55926085.086459875</v>
      </c>
      <c r="D21" s="136"/>
      <c r="E21" s="136"/>
      <c r="F21" s="136"/>
      <c r="G21" s="136"/>
    </row>
    <row r="22" spans="1:7" ht="20" x14ac:dyDescent="0.2">
      <c r="A22" s="137" t="s">
        <v>234</v>
      </c>
      <c r="B22" s="138">
        <f t="shared" ref="B22:G22" si="2">SUM(B20:B21)</f>
        <v>104631085.08645988</v>
      </c>
      <c r="C22" s="138">
        <f t="shared" si="2"/>
        <v>104631085.08645988</v>
      </c>
      <c r="D22" s="138">
        <f t="shared" si="2"/>
        <v>0</v>
      </c>
      <c r="E22" s="138">
        <f t="shared" si="2"/>
        <v>0</v>
      </c>
      <c r="F22" s="138">
        <f t="shared" si="2"/>
        <v>0</v>
      </c>
      <c r="G22" s="138">
        <f t="shared" si="2"/>
        <v>0</v>
      </c>
    </row>
    <row r="23" spans="1:7" ht="20" x14ac:dyDescent="0.2">
      <c r="A23" s="137" t="s">
        <v>235</v>
      </c>
      <c r="B23" s="138">
        <f t="shared" ref="B23:G23" si="3">B18-B22</f>
        <v>-104631085.08645988</v>
      </c>
      <c r="C23" s="138">
        <f t="shared" si="3"/>
        <v>-98780736.925847173</v>
      </c>
      <c r="D23" s="138">
        <f t="shared" si="3"/>
        <v>36718486.643420517</v>
      </c>
      <c r="E23" s="138">
        <f t="shared" si="3"/>
        <v>60049419.478676915</v>
      </c>
      <c r="F23" s="138">
        <f t="shared" si="3"/>
        <v>88269485.356031358</v>
      </c>
      <c r="G23" s="138">
        <f t="shared" si="3"/>
        <v>122200521.07692242</v>
      </c>
    </row>
    <row r="24" spans="1:7" ht="20" x14ac:dyDescent="0.2">
      <c r="A24" s="201" t="s">
        <v>236</v>
      </c>
      <c r="B24" s="201"/>
      <c r="C24" s="201"/>
      <c r="D24" s="201"/>
      <c r="E24" s="201"/>
      <c r="F24" s="201"/>
      <c r="G24" s="201"/>
    </row>
    <row r="25" spans="1:7" ht="20" x14ac:dyDescent="0.2">
      <c r="A25" s="135" t="s">
        <v>237</v>
      </c>
      <c r="B25" s="136">
        <f>B22-B26</f>
        <v>44631085.086459875</v>
      </c>
      <c r="C25" s="136">
        <f>C22-C26</f>
        <v>44631085.086459875</v>
      </c>
      <c r="D25" s="136"/>
      <c r="E25" s="136"/>
      <c r="F25" s="136"/>
      <c r="G25" s="136"/>
    </row>
    <row r="26" spans="1:7" ht="20" x14ac:dyDescent="0.2">
      <c r="A26" s="135" t="s">
        <v>238</v>
      </c>
      <c r="B26" s="136">
        <f>Préstamo!F3</f>
        <v>60000000</v>
      </c>
      <c r="C26" s="136">
        <f>B26</f>
        <v>60000000</v>
      </c>
      <c r="D26" s="136"/>
      <c r="E26" s="136"/>
      <c r="F26" s="136"/>
      <c r="G26" s="136"/>
    </row>
    <row r="27" spans="1:7" ht="20" x14ac:dyDescent="0.2">
      <c r="A27" s="137" t="s">
        <v>239</v>
      </c>
      <c r="B27" s="138">
        <f t="shared" ref="B27:G27" si="4">SUM(B25:B26)</f>
        <v>104631085.08645988</v>
      </c>
      <c r="C27" s="138">
        <f t="shared" si="4"/>
        <v>104631085.08645988</v>
      </c>
      <c r="D27" s="138">
        <f t="shared" si="4"/>
        <v>0</v>
      </c>
      <c r="E27" s="138">
        <f t="shared" si="4"/>
        <v>0</v>
      </c>
      <c r="F27" s="138">
        <f t="shared" si="4"/>
        <v>0</v>
      </c>
      <c r="G27" s="138">
        <f t="shared" si="4"/>
        <v>0</v>
      </c>
    </row>
    <row r="28" spans="1:7" ht="20" x14ac:dyDescent="0.2">
      <c r="A28" s="201" t="s">
        <v>378</v>
      </c>
      <c r="B28" s="201"/>
      <c r="C28" s="201"/>
      <c r="D28" s="201"/>
      <c r="E28" s="201"/>
      <c r="F28" s="201"/>
      <c r="G28" s="201"/>
    </row>
    <row r="29" spans="1:7" ht="20" x14ac:dyDescent="0.2">
      <c r="A29" s="135" t="s">
        <v>240</v>
      </c>
      <c r="B29" s="136"/>
      <c r="C29" s="136">
        <f>Préstamo!L12</f>
        <v>7516240.6106123431</v>
      </c>
      <c r="D29" s="136">
        <f>Préstamo!$L13</f>
        <v>9288595.1182655133</v>
      </c>
      <c r="E29" s="136">
        <f>Préstamo!$L14</f>
        <v>11478876.707226232</v>
      </c>
      <c r="F29" s="136">
        <f>Préstamo!$L15</f>
        <v>14185633.971771795</v>
      </c>
      <c r="G29" s="136">
        <f>Préstamo!$L16</f>
        <v>17530653.592124172</v>
      </c>
    </row>
    <row r="30" spans="1:7" ht="20" x14ac:dyDescent="0.2">
      <c r="A30" s="135" t="s">
        <v>241</v>
      </c>
      <c r="B30" s="136"/>
      <c r="C30" s="136">
        <f>Préstamo!K12</f>
        <v>12108268.185389251</v>
      </c>
      <c r="D30" s="136">
        <f>Préstamo!$K13</f>
        <v>10335913.677736081</v>
      </c>
      <c r="E30" s="136">
        <f>Préstamo!$K14</f>
        <v>8145632.0887753619</v>
      </c>
      <c r="F30" s="136">
        <f>Préstamo!$K15</f>
        <v>5438874.8242297992</v>
      </c>
      <c r="G30" s="136">
        <f>Préstamo!$K16</f>
        <v>2093855.203877422</v>
      </c>
    </row>
    <row r="31" spans="1:7" ht="20" x14ac:dyDescent="0.2">
      <c r="A31" s="135" t="s">
        <v>103</v>
      </c>
      <c r="B31" s="136"/>
      <c r="C31" s="136">
        <f>'Estados de resultados'!B11</f>
        <v>2743802.9448994934</v>
      </c>
      <c r="D31" s="136">
        <f>'Estados de resultados'!C11</f>
        <v>3143316.583709321</v>
      </c>
      <c r="E31" s="136">
        <f>'Estados de resultados'!D11</f>
        <v>3601145.672255808</v>
      </c>
      <c r="F31" s="136">
        <f>'Estados de resultados'!E11</f>
        <v>4125824.7313943226</v>
      </c>
      <c r="G31" s="136">
        <f>'Estados de resultados'!F11</f>
        <v>4727140.807299953</v>
      </c>
    </row>
    <row r="32" spans="1:7" ht="20" x14ac:dyDescent="0.2">
      <c r="A32" s="135" t="s">
        <v>242</v>
      </c>
      <c r="B32" s="136"/>
      <c r="C32" s="136">
        <v>0</v>
      </c>
      <c r="D32" s="136">
        <v>0</v>
      </c>
      <c r="E32" s="136">
        <v>0</v>
      </c>
      <c r="F32" s="136">
        <v>0</v>
      </c>
      <c r="G32" s="136">
        <v>0</v>
      </c>
    </row>
    <row r="33" spans="1:9" ht="20" x14ac:dyDescent="0.2">
      <c r="A33" s="137" t="s">
        <v>243</v>
      </c>
      <c r="B33" s="138"/>
      <c r="C33" s="138">
        <f>SUM(C29:C32)</f>
        <v>22368311.740901086</v>
      </c>
      <c r="D33" s="138">
        <f>SUM(D29:D32)</f>
        <v>22767825.379710916</v>
      </c>
      <c r="E33" s="138">
        <f>SUM(E29:E32)</f>
        <v>23225654.468257401</v>
      </c>
      <c r="F33" s="138">
        <f>SUM(F29:F32)</f>
        <v>23750333.527395919</v>
      </c>
      <c r="G33" s="138">
        <f>SUM(G29:G32)</f>
        <v>24351649.603301547</v>
      </c>
    </row>
    <row r="34" spans="1:9" ht="20" x14ac:dyDescent="0.2">
      <c r="A34" s="137" t="s">
        <v>244</v>
      </c>
      <c r="B34" s="138">
        <f>B27+B33</f>
        <v>104631085.08645988</v>
      </c>
      <c r="C34" s="138">
        <f>C27-C33</f>
        <v>82262773.345558792</v>
      </c>
      <c r="D34" s="138">
        <f>D27-D33</f>
        <v>-22767825.379710916</v>
      </c>
      <c r="E34" s="138">
        <f>E27-E33</f>
        <v>-23225654.468257401</v>
      </c>
      <c r="F34" s="138">
        <f>F27-F33</f>
        <v>-23750333.527395919</v>
      </c>
      <c r="G34" s="138">
        <f>G27-G33</f>
        <v>-24351649.603301547</v>
      </c>
    </row>
    <row r="35" spans="1:9" ht="20" x14ac:dyDescent="0.2">
      <c r="A35" s="137" t="s">
        <v>245</v>
      </c>
      <c r="B35" s="138">
        <f t="shared" ref="B35:G35" si="5">B23+B34</f>
        <v>0</v>
      </c>
      <c r="C35" s="138">
        <f>C23+C34</f>
        <v>-16517963.58028838</v>
      </c>
      <c r="D35" s="138">
        <f t="shared" si="5"/>
        <v>13950661.263709601</v>
      </c>
      <c r="E35" s="138">
        <f t="shared" si="5"/>
        <v>36823765.010419518</v>
      </c>
      <c r="F35" s="138">
        <f t="shared" si="5"/>
        <v>64519151.828635439</v>
      </c>
      <c r="G35" s="138">
        <f t="shared" si="5"/>
        <v>97848871.473620862</v>
      </c>
    </row>
    <row r="36" spans="1:9" ht="20" x14ac:dyDescent="0.2">
      <c r="A36" s="135" t="s">
        <v>246</v>
      </c>
      <c r="B36" s="136">
        <f>B35+B23</f>
        <v>-104631085.08645988</v>
      </c>
      <c r="C36" s="136">
        <f>C35</f>
        <v>-16517963.58028838</v>
      </c>
      <c r="D36" s="136">
        <f>D35</f>
        <v>13950661.263709601</v>
      </c>
      <c r="E36" s="136">
        <f>E35</f>
        <v>36823765.010419518</v>
      </c>
      <c r="F36" s="136">
        <f>F35</f>
        <v>64519151.828635439</v>
      </c>
      <c r="G36" s="136">
        <f>G35</f>
        <v>97848871.473620862</v>
      </c>
    </row>
    <row r="37" spans="1:9" ht="20" x14ac:dyDescent="0.2">
      <c r="A37" s="135" t="s">
        <v>247</v>
      </c>
      <c r="B37" s="136"/>
      <c r="C37" s="136">
        <f>C21</f>
        <v>55926085.086459875</v>
      </c>
      <c r="D37" s="136">
        <f>C38</f>
        <v>39408121.506171495</v>
      </c>
      <c r="E37" s="136">
        <f>D38</f>
        <v>53358782.769881099</v>
      </c>
      <c r="F37" s="136">
        <f>E38</f>
        <v>90182547.780300617</v>
      </c>
      <c r="G37" s="136">
        <f>F38</f>
        <v>154701699.60893607</v>
      </c>
    </row>
    <row r="38" spans="1:9" ht="20" x14ac:dyDescent="0.2">
      <c r="A38" s="137" t="s">
        <v>248</v>
      </c>
      <c r="B38" s="138">
        <f>B36+B37</f>
        <v>-104631085.08645988</v>
      </c>
      <c r="C38" s="138">
        <f t="shared" ref="C38:F38" si="6">C36+C37</f>
        <v>39408121.506171495</v>
      </c>
      <c r="D38" s="138">
        <f t="shared" si="6"/>
        <v>53358782.769881099</v>
      </c>
      <c r="E38" s="138">
        <f t="shared" si="6"/>
        <v>90182547.780300617</v>
      </c>
      <c r="F38" s="138">
        <f t="shared" si="6"/>
        <v>154701699.60893607</v>
      </c>
      <c r="G38" s="138">
        <f>G36+G37</f>
        <v>252550571.08255693</v>
      </c>
    </row>
    <row r="41" spans="1:9" x14ac:dyDescent="0.2">
      <c r="A41" s="196" t="s">
        <v>399</v>
      </c>
      <c r="B41" s="196"/>
      <c r="C41" s="196"/>
      <c r="D41" s="196"/>
      <c r="E41" s="196"/>
      <c r="F41" s="196"/>
      <c r="G41" s="196"/>
      <c r="H41" s="196"/>
      <c r="I41" s="196"/>
    </row>
    <row r="42" spans="1:9" x14ac:dyDescent="0.2">
      <c r="A42" s="68"/>
      <c r="B42" s="68"/>
      <c r="C42" s="68"/>
      <c r="D42" s="68"/>
      <c r="E42" s="68"/>
      <c r="F42" s="68"/>
      <c r="G42" s="68"/>
      <c r="H42" s="68"/>
    </row>
    <row r="43" spans="1:9" x14ac:dyDescent="0.2">
      <c r="A43" s="119"/>
      <c r="B43" s="197" t="s">
        <v>157</v>
      </c>
      <c r="C43" s="198"/>
      <c r="D43" s="191" t="s">
        <v>398</v>
      </c>
      <c r="E43" s="191" t="s">
        <v>346</v>
      </c>
      <c r="F43" s="191" t="s">
        <v>347</v>
      </c>
      <c r="G43" s="191" t="s">
        <v>348</v>
      </c>
      <c r="H43" s="68"/>
    </row>
    <row r="44" spans="1:9" x14ac:dyDescent="0.2">
      <c r="A44" s="68"/>
      <c r="B44" s="199"/>
      <c r="C44" s="200"/>
      <c r="D44" s="192"/>
      <c r="E44" s="192"/>
      <c r="F44" s="192"/>
      <c r="G44" s="192"/>
      <c r="H44" s="68"/>
    </row>
    <row r="45" spans="1:9" ht="16" x14ac:dyDescent="0.2">
      <c r="A45" s="68"/>
      <c r="B45" s="46" t="s">
        <v>216</v>
      </c>
      <c r="C45" s="86">
        <v>5</v>
      </c>
      <c r="D45" s="46">
        <f>'Depreciaciones, GA, GV, CIFs'!BM15+'Depreciaciones, GA, GV, CIFs'!BM20+'Depreciaciones, GA, GV, CIFs'!BM25+'Depreciaciones, GA, GV, CIFs'!BM30+G38</f>
        <v>275323071.08255696</v>
      </c>
      <c r="E45" s="121">
        <f>'Indicadores financieros'!$E$20</f>
        <v>8.1473691366952553E-2</v>
      </c>
      <c r="F45" s="86">
        <f>1/((1+E45)^C45)</f>
        <v>0.6759587670555961</v>
      </c>
      <c r="G45" s="46">
        <f>D45*F45</f>
        <v>186107043.67092544</v>
      </c>
      <c r="H45" s="68"/>
    </row>
    <row r="46" spans="1:9" x14ac:dyDescent="0.2">
      <c r="A46" s="68"/>
      <c r="B46" s="193" t="s">
        <v>397</v>
      </c>
      <c r="C46" s="194"/>
      <c r="D46" s="194"/>
      <c r="E46" s="194"/>
      <c r="F46" s="195"/>
      <c r="G46" s="118">
        <f>SUM(G45:G45)</f>
        <v>186107043.67092544</v>
      </c>
      <c r="H46" s="68"/>
    </row>
  </sheetData>
  <mergeCells count="13">
    <mergeCell ref="A28:G28"/>
    <mergeCell ref="A2:A3"/>
    <mergeCell ref="A6:G6"/>
    <mergeCell ref="A13:G13"/>
    <mergeCell ref="A19:G19"/>
    <mergeCell ref="A24:G24"/>
    <mergeCell ref="G43:G44"/>
    <mergeCell ref="B46:F46"/>
    <mergeCell ref="A41:I41"/>
    <mergeCell ref="B43:C44"/>
    <mergeCell ref="D43:D44"/>
    <mergeCell ref="E43:E44"/>
    <mergeCell ref="F43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Lista de precios insumos</vt:lpstr>
      <vt:lpstr>Proyecciones (Ventas y MP)</vt:lpstr>
      <vt:lpstr>Mano de obra</vt:lpstr>
      <vt:lpstr>Inversiones iniciales</vt:lpstr>
      <vt:lpstr>Otros gastos y costos</vt:lpstr>
      <vt:lpstr>Depreciaciones, GA, GV, CIFs</vt:lpstr>
      <vt:lpstr>Préstamo</vt:lpstr>
      <vt:lpstr>Estados de resultados</vt:lpstr>
      <vt:lpstr>Flujo de caja</vt:lpstr>
      <vt:lpstr>Balance general</vt:lpstr>
      <vt:lpstr>Indicadores financieros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Perez</dc:creator>
  <cp:lastModifiedBy>MARIA NINO</cp:lastModifiedBy>
  <dcterms:created xsi:type="dcterms:W3CDTF">2024-06-20T01:10:51Z</dcterms:created>
  <dcterms:modified xsi:type="dcterms:W3CDTF">2024-07-26T01:02:35Z</dcterms:modified>
</cp:coreProperties>
</file>