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illermo\Pictures\expo\"/>
    </mc:Choice>
  </mc:AlternateContent>
  <xr:revisionPtr revIDLastSave="0" documentId="13_ncr:1_{CD91061E-E54D-4BA0-8E04-48F3E94B6F87}" xr6:coauthVersionLast="47" xr6:coauthVersionMax="47" xr10:uidLastSave="{00000000-0000-0000-0000-000000000000}"/>
  <bookViews>
    <workbookView xWindow="-120" yWindow="-120" windowWidth="29040" windowHeight="16440" activeTab="13" xr2:uid="{00000000-000D-0000-FFFF-FFFF00000000}"/>
  </bookViews>
  <sheets>
    <sheet name="MO" sheetId="2" r:id="rId1"/>
    <sheet name="MP" sheetId="3" r:id="rId2"/>
    <sheet name="CIF" sheetId="4" r:id="rId3"/>
    <sheet name="Depre - Dif" sheetId="8" r:id="rId4"/>
    <sheet name="COSTOS DE PRODUCCIÓN" sheetId="5" r:id="rId5"/>
    <sheet name="ADM Y VENTAS" sheetId="6" r:id="rId6"/>
    <sheet name="INVERSIÓN INICIAL" sheetId="7" r:id="rId7"/>
    <sheet name="FINANCIAMIENTO" sheetId="9" r:id="rId8"/>
    <sheet name="FINANCIAMIENTO (2)" sheetId="15" state="hidden" r:id="rId9"/>
    <sheet name="FINANCIAMIENTO (3)" sheetId="16" state="hidden" r:id="rId10"/>
    <sheet name="FINANCIAMIENTO (4)" sheetId="17" state="hidden" r:id="rId11"/>
    <sheet name="PPV" sheetId="10" state="hidden" r:id="rId12"/>
    <sheet name="ECPV" sheetId="11" r:id="rId13"/>
    <sheet name="ER" sheetId="12" r:id="rId14"/>
    <sheet name="BG" sheetId="13" r:id="rId15"/>
    <sheet name="FC" sheetId="14" r:id="rId16"/>
  </sheets>
  <definedNames>
    <definedName name="_Ref389811133" localSheetId="3">'Depre - Dif'!$B$3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7" l="1"/>
  <c r="D16" i="12"/>
  <c r="C13" i="14"/>
  <c r="C14" i="11"/>
  <c r="C11" i="11"/>
  <c r="C8" i="11"/>
  <c r="C7" i="11"/>
  <c r="C4" i="11"/>
  <c r="D32" i="12"/>
  <c r="D34" i="12" s="1"/>
  <c r="D20" i="6"/>
  <c r="F3" i="3"/>
  <c r="I1" i="3"/>
  <c r="D2" i="10"/>
  <c r="D7" i="10"/>
  <c r="C14" i="14"/>
  <c r="H9" i="14"/>
  <c r="G9" i="14"/>
  <c r="F9" i="14"/>
  <c r="D7" i="14"/>
  <c r="I18" i="9"/>
  <c r="K18" i="9" s="1"/>
  <c r="D23" i="14" s="1"/>
  <c r="E23" i="14"/>
  <c r="C15" i="14"/>
  <c r="D23" i="13"/>
  <c r="C23" i="13"/>
  <c r="C17" i="13"/>
  <c r="C13" i="13"/>
  <c r="D13" i="13" s="1"/>
  <c r="E13" i="13" s="1"/>
  <c r="F13" i="13" s="1"/>
  <c r="G13" i="13" s="1"/>
  <c r="H13" i="13" s="1"/>
  <c r="B5" i="13"/>
  <c r="B17" i="13"/>
  <c r="D17" i="13" s="1"/>
  <c r="B23" i="13"/>
  <c r="D23" i="12"/>
  <c r="C18" i="13" s="1"/>
  <c r="C19" i="13" s="1"/>
  <c r="V13" i="2"/>
  <c r="F12" i="9"/>
  <c r="D22" i="12"/>
  <c r="W9" i="2"/>
  <c r="W8" i="2"/>
  <c r="D21" i="12"/>
  <c r="D20" i="12"/>
  <c r="C5" i="11"/>
  <c r="C3" i="11"/>
  <c r="J11" i="2"/>
  <c r="Q8" i="2"/>
  <c r="I6" i="17"/>
  <c r="I8" i="17" s="1"/>
  <c r="F4" i="17"/>
  <c r="D4" i="17"/>
  <c r="F38" i="8"/>
  <c r="F37" i="8"/>
  <c r="I6" i="16"/>
  <c r="I8" i="16" s="1"/>
  <c r="C27" i="16" s="1"/>
  <c r="J4" i="16"/>
  <c r="F4" i="16"/>
  <c r="D4" i="16"/>
  <c r="F36" i="8"/>
  <c r="J4" i="15"/>
  <c r="B18" i="13"/>
  <c r="B19" i="13" s="1"/>
  <c r="F4" i="15"/>
  <c r="I6" i="15"/>
  <c r="D4" i="15"/>
  <c r="F17" i="13" l="1"/>
  <c r="E17" i="13"/>
  <c r="G17" i="13"/>
  <c r="H17" i="13"/>
  <c r="D8" i="14"/>
  <c r="C12" i="14"/>
  <c r="C10" i="14" s="1"/>
  <c r="C27" i="14" s="1"/>
  <c r="B31" i="14" s="1"/>
  <c r="E5" i="16"/>
  <c r="E5" i="15"/>
  <c r="E5" i="17"/>
  <c r="B5" i="17"/>
  <c r="C15" i="17"/>
  <c r="C14" i="17"/>
  <c r="C13" i="17"/>
  <c r="C9" i="17"/>
  <c r="C6" i="17"/>
  <c r="C16" i="17"/>
  <c r="C10" i="17"/>
  <c r="C7" i="17"/>
  <c r="C12" i="17"/>
  <c r="C11" i="17"/>
  <c r="C8" i="17"/>
  <c r="C5" i="17"/>
  <c r="C7" i="16"/>
  <c r="B5" i="16"/>
  <c r="C10" i="16"/>
  <c r="C11" i="16"/>
  <c r="C12" i="16"/>
  <c r="C18" i="16"/>
  <c r="C22" i="16"/>
  <c r="C26" i="16"/>
  <c r="C16" i="16"/>
  <c r="C20" i="16"/>
  <c r="C24" i="16"/>
  <c r="C28" i="16"/>
  <c r="C5" i="16"/>
  <c r="C8" i="16"/>
  <c r="C17" i="16"/>
  <c r="C21" i="16"/>
  <c r="C25" i="16"/>
  <c r="C6" i="16"/>
  <c r="C9" i="16"/>
  <c r="C13" i="16"/>
  <c r="C14" i="16"/>
  <c r="C15" i="16"/>
  <c r="C19" i="16"/>
  <c r="C23" i="16"/>
  <c r="B5" i="15"/>
  <c r="I8" i="15"/>
  <c r="C19" i="15" s="1"/>
  <c r="I13" i="17" l="1"/>
  <c r="D5" i="17"/>
  <c r="F5" i="17" s="1"/>
  <c r="I13" i="16"/>
  <c r="D5" i="16"/>
  <c r="F5" i="16" s="1"/>
  <c r="I14" i="16"/>
  <c r="C8" i="15"/>
  <c r="C26" i="15"/>
  <c r="C15" i="15"/>
  <c r="C10" i="15"/>
  <c r="C17" i="15"/>
  <c r="C16" i="15"/>
  <c r="C23" i="15"/>
  <c r="C20" i="15"/>
  <c r="C25" i="15"/>
  <c r="C6" i="15"/>
  <c r="C28" i="15"/>
  <c r="C18" i="15"/>
  <c r="C13" i="15"/>
  <c r="C5" i="15"/>
  <c r="C21" i="15"/>
  <c r="C22" i="15"/>
  <c r="C24" i="15"/>
  <c r="C14" i="15"/>
  <c r="C27" i="15"/>
  <c r="C11" i="15"/>
  <c r="C12" i="15"/>
  <c r="C7" i="15"/>
  <c r="C9" i="15"/>
  <c r="I13" i="15"/>
  <c r="D5" i="15"/>
  <c r="F5" i="15" s="1"/>
  <c r="I14" i="15" l="1"/>
  <c r="B6" i="17"/>
  <c r="E6" i="17"/>
  <c r="B6" i="16"/>
  <c r="E6" i="16"/>
  <c r="E6" i="15"/>
  <c r="B6" i="15"/>
  <c r="D6" i="17" l="1"/>
  <c r="F6" i="17" s="1"/>
  <c r="D6" i="16"/>
  <c r="F6" i="16" s="1"/>
  <c r="D6" i="15"/>
  <c r="F6" i="15" s="1"/>
  <c r="B7" i="17" l="1"/>
  <c r="E7" i="17"/>
  <c r="B7" i="16"/>
  <c r="E7" i="16"/>
  <c r="B7" i="15"/>
  <c r="E7" i="15"/>
  <c r="D7" i="17" l="1"/>
  <c r="F7" i="17"/>
  <c r="D7" i="16"/>
  <c r="F7" i="16"/>
  <c r="D7" i="15"/>
  <c r="F7" i="15" s="1"/>
  <c r="E8" i="17" l="1"/>
  <c r="B8" i="17"/>
  <c r="E8" i="16"/>
  <c r="B8" i="16"/>
  <c r="E8" i="15"/>
  <c r="B8" i="15"/>
  <c r="G12" i="2"/>
  <c r="H12" i="2"/>
  <c r="I12" i="2"/>
  <c r="D3" i="9"/>
  <c r="C3" i="9"/>
  <c r="B5" i="9"/>
  <c r="D2" i="9" s="1"/>
  <c r="C20" i="14"/>
  <c r="H17" i="14"/>
  <c r="D4" i="9" l="1"/>
  <c r="E30" i="14" s="1"/>
  <c r="D8" i="17"/>
  <c r="F8" i="17" s="1"/>
  <c r="D8" i="16"/>
  <c r="F8" i="16" s="1"/>
  <c r="D8" i="15"/>
  <c r="F8" i="15" s="1"/>
  <c r="C17" i="14"/>
  <c r="G17" i="14"/>
  <c r="F17" i="14"/>
  <c r="E17" i="14"/>
  <c r="D17" i="14"/>
  <c r="B7" i="13"/>
  <c r="B6" i="13"/>
  <c r="C5" i="5"/>
  <c r="C7" i="5"/>
  <c r="C8" i="5"/>
  <c r="C9" i="5"/>
  <c r="E21" i="12"/>
  <c r="F21" i="12" s="1"/>
  <c r="G21" i="12" s="1"/>
  <c r="H21" i="12" s="1"/>
  <c r="B10" i="6"/>
  <c r="H7" i="4"/>
  <c r="C5" i="4" s="1"/>
  <c r="D9" i="9"/>
  <c r="I11" i="9"/>
  <c r="E10" i="9" s="1"/>
  <c r="B9" i="17" l="1"/>
  <c r="E9" i="17"/>
  <c r="D9" i="17" s="1"/>
  <c r="B9" i="16"/>
  <c r="E9" i="16"/>
  <c r="D9" i="16" s="1"/>
  <c r="B9" i="15"/>
  <c r="E9" i="15"/>
  <c r="D9" i="15" s="1"/>
  <c r="G23" i="14"/>
  <c r="H23" i="14" s="1"/>
  <c r="C6" i="13"/>
  <c r="J9" i="2"/>
  <c r="J12" i="2" s="1"/>
  <c r="K2" i="2"/>
  <c r="D10" i="2" s="1"/>
  <c r="D11" i="2" s="1"/>
  <c r="F11" i="2" s="1"/>
  <c r="D10" i="11" l="1"/>
  <c r="D11" i="11"/>
  <c r="F9" i="17"/>
  <c r="F9" i="16"/>
  <c r="B10" i="16" s="1"/>
  <c r="E10" i="16"/>
  <c r="D10" i="16" s="1"/>
  <c r="E20" i="12"/>
  <c r="F9" i="15"/>
  <c r="C7" i="13"/>
  <c r="D14" i="11"/>
  <c r="D13" i="11"/>
  <c r="K11" i="2"/>
  <c r="D9" i="2"/>
  <c r="D8" i="2"/>
  <c r="C5" i="13"/>
  <c r="D19" i="10"/>
  <c r="D18" i="10"/>
  <c r="D17" i="10"/>
  <c r="D16" i="10"/>
  <c r="D15" i="10"/>
  <c r="D14" i="10"/>
  <c r="D13" i="10"/>
  <c r="D12" i="10"/>
  <c r="D11" i="10"/>
  <c r="D10" i="10"/>
  <c r="D9" i="10"/>
  <c r="D8" i="10"/>
  <c r="D6" i="10"/>
  <c r="D5" i="10"/>
  <c r="D4" i="10"/>
  <c r="D3" i="10"/>
  <c r="I9" i="9"/>
  <c r="I13" i="9" s="1"/>
  <c r="F9" i="9"/>
  <c r="B28" i="7"/>
  <c r="B33" i="7" s="1"/>
  <c r="C32" i="8"/>
  <c r="B12" i="13" s="1"/>
  <c r="E31" i="8"/>
  <c r="F31" i="8" s="1"/>
  <c r="G31" i="8" s="1"/>
  <c r="E30" i="8"/>
  <c r="F30" i="8" s="1"/>
  <c r="G30" i="8" s="1"/>
  <c r="E29" i="8"/>
  <c r="F29" i="8" s="1"/>
  <c r="G29" i="8" s="1"/>
  <c r="E28" i="8"/>
  <c r="F28" i="8" s="1"/>
  <c r="G28" i="8" s="1"/>
  <c r="E27" i="8"/>
  <c r="F27" i="8" s="1"/>
  <c r="G27" i="8" s="1"/>
  <c r="E26" i="8"/>
  <c r="F26" i="8" s="1"/>
  <c r="G26" i="8" s="1"/>
  <c r="E25" i="8"/>
  <c r="F25" i="8" s="1"/>
  <c r="G25" i="8" s="1"/>
  <c r="E24" i="8"/>
  <c r="F24" i="8" s="1"/>
  <c r="G24" i="8" s="1"/>
  <c r="E23" i="8"/>
  <c r="F23" i="8" s="1"/>
  <c r="G23" i="8" s="1"/>
  <c r="E22" i="8"/>
  <c r="F22" i="8" s="1"/>
  <c r="G22" i="8" s="1"/>
  <c r="E21" i="8"/>
  <c r="F21" i="8" s="1"/>
  <c r="H12" i="13" l="1"/>
  <c r="C12" i="13"/>
  <c r="G12" i="13"/>
  <c r="F12" i="13"/>
  <c r="E12" i="13"/>
  <c r="D12" i="13"/>
  <c r="E11" i="11"/>
  <c r="D6" i="13"/>
  <c r="E10" i="11"/>
  <c r="B10" i="17"/>
  <c r="E10" i="17"/>
  <c r="D10" i="17" s="1"/>
  <c r="F10" i="16"/>
  <c r="F20" i="12"/>
  <c r="B10" i="15"/>
  <c r="E10" i="15"/>
  <c r="D10" i="15" s="1"/>
  <c r="E14" i="11"/>
  <c r="D7" i="13"/>
  <c r="E13" i="11"/>
  <c r="S11" i="2"/>
  <c r="P11" i="2"/>
  <c r="Q11" i="2" s="1"/>
  <c r="B10" i="9"/>
  <c r="O11" i="2"/>
  <c r="R11" i="2"/>
  <c r="N11" i="2"/>
  <c r="M11" i="2"/>
  <c r="L11" i="2"/>
  <c r="D5" i="11"/>
  <c r="D5" i="13" s="1"/>
  <c r="D3" i="11"/>
  <c r="C27" i="9"/>
  <c r="C19" i="9"/>
  <c r="C11" i="9"/>
  <c r="C20" i="9"/>
  <c r="C26" i="9"/>
  <c r="C18" i="9"/>
  <c r="C10" i="9"/>
  <c r="D10" i="9" s="1"/>
  <c r="C33" i="9"/>
  <c r="C25" i="9"/>
  <c r="C17" i="9"/>
  <c r="C32" i="9"/>
  <c r="C24" i="9"/>
  <c r="C16" i="9"/>
  <c r="C28" i="9"/>
  <c r="C12" i="9"/>
  <c r="C31" i="9"/>
  <c r="C23" i="9"/>
  <c r="C15" i="9"/>
  <c r="C22" i="9"/>
  <c r="C30" i="9"/>
  <c r="C14" i="9"/>
  <c r="C29" i="9"/>
  <c r="C21" i="9"/>
  <c r="C13" i="9"/>
  <c r="D20" i="10"/>
  <c r="F32" i="8"/>
  <c r="G21" i="8"/>
  <c r="G32" i="8" s="1"/>
  <c r="D12" i="7"/>
  <c r="D11" i="7"/>
  <c r="D10" i="7"/>
  <c r="D9" i="7"/>
  <c r="D8" i="7"/>
  <c r="D7" i="7"/>
  <c r="D6" i="7"/>
  <c r="D5" i="7"/>
  <c r="D4" i="7"/>
  <c r="D3" i="7"/>
  <c r="D2" i="7"/>
  <c r="C17" i="8"/>
  <c r="D5" i="4"/>
  <c r="D4" i="4"/>
  <c r="D3" i="4"/>
  <c r="F10" i="2"/>
  <c r="K10" i="2" s="1"/>
  <c r="F9" i="2"/>
  <c r="K9" i="2" s="1"/>
  <c r="F8" i="2"/>
  <c r="F12" i="2" s="1"/>
  <c r="D5" i="12" l="1"/>
  <c r="T11" i="2"/>
  <c r="R9" i="2"/>
  <c r="F11" i="11"/>
  <c r="E6" i="13"/>
  <c r="F10" i="11"/>
  <c r="F10" i="17"/>
  <c r="E11" i="16"/>
  <c r="D11" i="16" s="1"/>
  <c r="B11" i="16"/>
  <c r="F11" i="16" s="1"/>
  <c r="B2" i="6"/>
  <c r="G20" i="12"/>
  <c r="F10" i="15"/>
  <c r="E7" i="13"/>
  <c r="F13" i="11"/>
  <c r="F14" i="11"/>
  <c r="S9" i="2"/>
  <c r="P9" i="2"/>
  <c r="Q9" i="2" s="1"/>
  <c r="F10" i="9"/>
  <c r="V11" i="2"/>
  <c r="T10" i="2"/>
  <c r="O9" i="2"/>
  <c r="N9" i="2"/>
  <c r="M9" i="2"/>
  <c r="L9" i="2"/>
  <c r="T9" i="2" s="1"/>
  <c r="F7" i="3"/>
  <c r="E5" i="11"/>
  <c r="E5" i="13" s="1"/>
  <c r="E3" i="11"/>
  <c r="I19" i="9"/>
  <c r="C14" i="13"/>
  <c r="D14" i="13"/>
  <c r="D13" i="7"/>
  <c r="B14" i="13"/>
  <c r="B6" i="11"/>
  <c r="K8" i="2"/>
  <c r="E11" i="9" l="1"/>
  <c r="C7" i="14"/>
  <c r="C6" i="14" s="1"/>
  <c r="C5" i="14" s="1"/>
  <c r="E14" i="13"/>
  <c r="H14" i="13"/>
  <c r="G14" i="13"/>
  <c r="F14" i="13"/>
  <c r="G11" i="11"/>
  <c r="F6" i="13"/>
  <c r="G10" i="11"/>
  <c r="K12" i="2"/>
  <c r="E11" i="17"/>
  <c r="D11" i="17" s="1"/>
  <c r="B11" i="17"/>
  <c r="B12" i="16"/>
  <c r="E12" i="16"/>
  <c r="D12" i="16" s="1"/>
  <c r="C19" i="12"/>
  <c r="H20" i="12"/>
  <c r="E11" i="15"/>
  <c r="D11" i="15" s="1"/>
  <c r="B11" i="15"/>
  <c r="F7" i="13"/>
  <c r="G13" i="11"/>
  <c r="G14" i="11"/>
  <c r="S8" i="2"/>
  <c r="S12" i="2" s="1"/>
  <c r="P8" i="2"/>
  <c r="L8" i="2"/>
  <c r="O8" i="2"/>
  <c r="O12" i="2" s="1"/>
  <c r="M8" i="2"/>
  <c r="M12" i="2" s="1"/>
  <c r="R8" i="2"/>
  <c r="R12" i="2" s="1"/>
  <c r="N8" i="2"/>
  <c r="N12" i="2" s="1"/>
  <c r="E5" i="12"/>
  <c r="F9" i="3"/>
  <c r="B2" i="5"/>
  <c r="C2" i="5" s="1"/>
  <c r="F3" i="11"/>
  <c r="F5" i="11"/>
  <c r="F5" i="13" s="1"/>
  <c r="F24" i="13" s="1"/>
  <c r="V9" i="2"/>
  <c r="B11" i="9"/>
  <c r="V10" i="2"/>
  <c r="D24" i="13"/>
  <c r="E14" i="14" s="1"/>
  <c r="E12" i="14" s="1"/>
  <c r="E10" i="14" s="1"/>
  <c r="C24" i="13"/>
  <c r="D14" i="14" s="1"/>
  <c r="D12" i="14" s="1"/>
  <c r="D10" i="14" s="1"/>
  <c r="E24" i="13"/>
  <c r="F14" i="14" s="1"/>
  <c r="F12" i="14" s="1"/>
  <c r="F10" i="14" s="1"/>
  <c r="D4" i="11"/>
  <c r="C6" i="11"/>
  <c r="B16" i="7"/>
  <c r="G14" i="14" l="1"/>
  <c r="G12" i="14" s="1"/>
  <c r="G10" i="14" s="1"/>
  <c r="D11" i="9"/>
  <c r="L12" i="2"/>
  <c r="H11" i="11"/>
  <c r="H6" i="13" s="1"/>
  <c r="G6" i="13"/>
  <c r="H10" i="11"/>
  <c r="F11" i="15"/>
  <c r="B12" i="15" s="1"/>
  <c r="P12" i="2"/>
  <c r="Q12" i="2"/>
  <c r="E16" i="12"/>
  <c r="F11" i="17"/>
  <c r="F12" i="16"/>
  <c r="B13" i="16" s="1"/>
  <c r="E22" i="12"/>
  <c r="E7" i="14" s="1"/>
  <c r="G7" i="13"/>
  <c r="H13" i="11"/>
  <c r="H14" i="11"/>
  <c r="H7" i="13" s="1"/>
  <c r="F11" i="9"/>
  <c r="F5" i="12"/>
  <c r="G3" i="11"/>
  <c r="G5" i="11"/>
  <c r="G5" i="13" s="1"/>
  <c r="G24" i="13" s="1"/>
  <c r="E4" i="11"/>
  <c r="D6" i="11"/>
  <c r="H14" i="14" l="1"/>
  <c r="H12" i="14" s="1"/>
  <c r="H10" i="14" s="1"/>
  <c r="H26" i="14"/>
  <c r="E12" i="9"/>
  <c r="F16" i="12"/>
  <c r="E12" i="15"/>
  <c r="D12" i="15" s="1"/>
  <c r="T8" i="2"/>
  <c r="B12" i="17"/>
  <c r="E12" i="17"/>
  <c r="D12" i="17" s="1"/>
  <c r="E13" i="16"/>
  <c r="D13" i="16" s="1"/>
  <c r="F13" i="16"/>
  <c r="F22" i="12"/>
  <c r="F12" i="15"/>
  <c r="D12" i="9"/>
  <c r="B12" i="9"/>
  <c r="B3" i="5"/>
  <c r="C3" i="5" s="1"/>
  <c r="G5" i="12"/>
  <c r="H3" i="11"/>
  <c r="H5" i="11"/>
  <c r="H5" i="13" s="1"/>
  <c r="H24" i="13" s="1"/>
  <c r="F4" i="11"/>
  <c r="E6" i="11"/>
  <c r="F7" i="14" l="1"/>
  <c r="G22" i="12"/>
  <c r="E13" i="9"/>
  <c r="T12" i="2"/>
  <c r="V8" i="2"/>
  <c r="G16" i="12"/>
  <c r="F12" i="17"/>
  <c r="B13" i="17" s="1"/>
  <c r="E14" i="16"/>
  <c r="D14" i="16" s="1"/>
  <c r="B14" i="16"/>
  <c r="F14" i="16" s="1"/>
  <c r="B13" i="15"/>
  <c r="E13" i="15"/>
  <c r="D13" i="15" s="1"/>
  <c r="H5" i="12"/>
  <c r="B13" i="9"/>
  <c r="D13" i="9"/>
  <c r="G4" i="11"/>
  <c r="F6" i="11"/>
  <c r="H22" i="12" l="1"/>
  <c r="H7" i="14" s="1"/>
  <c r="G7" i="14"/>
  <c r="H16" i="12"/>
  <c r="C6" i="4"/>
  <c r="D6" i="4" s="1"/>
  <c r="V12" i="2"/>
  <c r="E13" i="17"/>
  <c r="D13" i="17" s="1"/>
  <c r="F13" i="17" s="1"/>
  <c r="E15" i="16"/>
  <c r="D15" i="16" s="1"/>
  <c r="B15" i="16"/>
  <c r="F13" i="15"/>
  <c r="F13" i="9"/>
  <c r="H4" i="11"/>
  <c r="H6" i="11" s="1"/>
  <c r="G6" i="11"/>
  <c r="D7" i="11"/>
  <c r="E7" i="11" s="1"/>
  <c r="F7" i="11" s="1"/>
  <c r="G7" i="11" s="1"/>
  <c r="H7" i="11" s="1"/>
  <c r="D7" i="4" l="1"/>
  <c r="E14" i="9"/>
  <c r="B14" i="17"/>
  <c r="E14" i="17"/>
  <c r="D14" i="17" s="1"/>
  <c r="F15" i="16"/>
  <c r="B14" i="15"/>
  <c r="E14" i="15"/>
  <c r="D14" i="15" s="1"/>
  <c r="B14" i="9"/>
  <c r="D14" i="9"/>
  <c r="B4" i="5" l="1"/>
  <c r="B9" i="11"/>
  <c r="B12" i="11" s="1"/>
  <c r="B15" i="11" s="1"/>
  <c r="F14" i="17"/>
  <c r="B15" i="17" s="1"/>
  <c r="B16" i="16"/>
  <c r="E16" i="16"/>
  <c r="F14" i="15"/>
  <c r="F14" i="9"/>
  <c r="C4" i="5" l="1"/>
  <c r="B6" i="5"/>
  <c r="E15" i="9"/>
  <c r="C6" i="12"/>
  <c r="C7" i="12" s="1"/>
  <c r="C17" i="12"/>
  <c r="C18" i="12" s="1"/>
  <c r="D8" i="11"/>
  <c r="C9" i="11"/>
  <c r="C12" i="11" s="1"/>
  <c r="C15" i="11" s="1"/>
  <c r="E15" i="17"/>
  <c r="D15" i="17" s="1"/>
  <c r="F15" i="17" s="1"/>
  <c r="D16" i="16"/>
  <c r="J13" i="16"/>
  <c r="F16" i="16"/>
  <c r="B15" i="15"/>
  <c r="E15" i="15"/>
  <c r="D15" i="15" s="1"/>
  <c r="B15" i="9"/>
  <c r="D15" i="9"/>
  <c r="B15" i="6" l="1"/>
  <c r="C6" i="5"/>
  <c r="E8" i="11"/>
  <c r="D9" i="11"/>
  <c r="D12" i="11" s="1"/>
  <c r="D15" i="11" s="1"/>
  <c r="D6" i="12"/>
  <c r="D7" i="12" s="1"/>
  <c r="D17" i="12"/>
  <c r="D18" i="12" s="1"/>
  <c r="B16" i="17"/>
  <c r="E16" i="17"/>
  <c r="K13" i="16"/>
  <c r="E17" i="16"/>
  <c r="B17" i="16"/>
  <c r="F15" i="15"/>
  <c r="F15" i="9"/>
  <c r="E16" i="9" l="1"/>
  <c r="D16" i="9" s="1"/>
  <c r="G22" i="14"/>
  <c r="G21" i="14" s="1"/>
  <c r="G16" i="14" s="1"/>
  <c r="F25" i="13"/>
  <c r="F26" i="13" s="1"/>
  <c r="E6" i="12"/>
  <c r="E7" i="12" s="1"/>
  <c r="E17" i="12"/>
  <c r="E18" i="12" s="1"/>
  <c r="F8" i="11"/>
  <c r="E9" i="11"/>
  <c r="E12" i="11" s="1"/>
  <c r="E15" i="11" s="1"/>
  <c r="D16" i="17"/>
  <c r="F16" i="17" s="1"/>
  <c r="J13" i="17"/>
  <c r="D17" i="16"/>
  <c r="F17" i="16" s="1"/>
  <c r="B16" i="15"/>
  <c r="E16" i="15"/>
  <c r="B16" i="9"/>
  <c r="F6" i="12" l="1"/>
  <c r="F7" i="12" s="1"/>
  <c r="F17" i="12"/>
  <c r="F18" i="12" s="1"/>
  <c r="G8" i="11"/>
  <c r="F9" i="11"/>
  <c r="F12" i="11" s="1"/>
  <c r="F15" i="11" s="1"/>
  <c r="K13" i="17"/>
  <c r="B18" i="16"/>
  <c r="E18" i="16"/>
  <c r="D16" i="15"/>
  <c r="F16" i="15" s="1"/>
  <c r="J13" i="15"/>
  <c r="F16" i="9"/>
  <c r="B17" i="9" l="1"/>
  <c r="H26" i="13"/>
  <c r="G6" i="12"/>
  <c r="G7" i="12" s="1"/>
  <c r="G17" i="12"/>
  <c r="G18" i="12" s="1"/>
  <c r="H8" i="11"/>
  <c r="H9" i="11" s="1"/>
  <c r="H12" i="11" s="1"/>
  <c r="H15" i="11" s="1"/>
  <c r="G9" i="11"/>
  <c r="G12" i="11" s="1"/>
  <c r="G15" i="11" s="1"/>
  <c r="D18" i="16"/>
  <c r="F18" i="16"/>
  <c r="K13" i="15"/>
  <c r="E17" i="15"/>
  <c r="B17" i="15"/>
  <c r="E17" i="9"/>
  <c r="D17" i="9" s="1"/>
  <c r="F17" i="9" s="1"/>
  <c r="H6" i="12" l="1"/>
  <c r="H7" i="12" s="1"/>
  <c r="H17" i="12"/>
  <c r="H18" i="12" s="1"/>
  <c r="E19" i="16"/>
  <c r="B19" i="16"/>
  <c r="D17" i="15"/>
  <c r="F17" i="15" s="1"/>
  <c r="B18" i="9"/>
  <c r="E18" i="9"/>
  <c r="D18" i="9" s="1"/>
  <c r="D19" i="16" l="1"/>
  <c r="F19" i="16" s="1"/>
  <c r="B18" i="15"/>
  <c r="E18" i="15"/>
  <c r="F18" i="9"/>
  <c r="B19" i="9" l="1"/>
  <c r="B20" i="16"/>
  <c r="E20" i="16"/>
  <c r="D18" i="15"/>
  <c r="F18" i="15" s="1"/>
  <c r="E19" i="9"/>
  <c r="D19" i="9" s="1"/>
  <c r="F19" i="9" s="1"/>
  <c r="D20" i="16" l="1"/>
  <c r="F20" i="16"/>
  <c r="B19" i="15"/>
  <c r="E19" i="15"/>
  <c r="B20" i="9"/>
  <c r="E20" i="9"/>
  <c r="D20" i="9" s="1"/>
  <c r="E21" i="16" l="1"/>
  <c r="B21" i="16"/>
  <c r="D19" i="15"/>
  <c r="F19" i="15" s="1"/>
  <c r="F20" i="9"/>
  <c r="B21" i="9" l="1"/>
  <c r="D21" i="16"/>
  <c r="F21" i="16" s="1"/>
  <c r="B20" i="15"/>
  <c r="E20" i="15"/>
  <c r="E21" i="9"/>
  <c r="J18" i="9" s="1"/>
  <c r="D25" i="12" s="1"/>
  <c r="D22" i="14" l="1"/>
  <c r="D21" i="14" s="1"/>
  <c r="D9" i="14"/>
  <c r="B22" i="16"/>
  <c r="E22" i="16"/>
  <c r="D22" i="16" s="1"/>
  <c r="D20" i="15"/>
  <c r="F20" i="15" s="1"/>
  <c r="D21" i="9"/>
  <c r="F21" i="9" s="1"/>
  <c r="B22" i="9" l="1"/>
  <c r="F22" i="16"/>
  <c r="E21" i="15"/>
  <c r="B21" i="15"/>
  <c r="E22" i="9"/>
  <c r="D22" i="9"/>
  <c r="F22" i="9" s="1"/>
  <c r="B23" i="9" l="1"/>
  <c r="E23" i="16"/>
  <c r="D23" i="16" s="1"/>
  <c r="B23" i="16"/>
  <c r="D21" i="15"/>
  <c r="F21" i="15" s="1"/>
  <c r="C22" i="14"/>
  <c r="C21" i="14" s="1"/>
  <c r="C16" i="14" s="1"/>
  <c r="B25" i="13"/>
  <c r="B26" i="13" s="1"/>
  <c r="E23" i="9"/>
  <c r="F23" i="16" l="1"/>
  <c r="E22" i="15"/>
  <c r="D22" i="15" s="1"/>
  <c r="B22" i="15"/>
  <c r="D23" i="9"/>
  <c r="F23" i="9" s="1"/>
  <c r="B24" i="9" l="1"/>
  <c r="B24" i="16"/>
  <c r="E24" i="16"/>
  <c r="D24" i="16" s="1"/>
  <c r="F22" i="15"/>
  <c r="E23" i="15" s="1"/>
  <c r="D23" i="15" s="1"/>
  <c r="B23" i="15"/>
  <c r="E24" i="9"/>
  <c r="F24" i="16" l="1"/>
  <c r="F23" i="15"/>
  <c r="D24" i="9"/>
  <c r="F24" i="9" s="1"/>
  <c r="E25" i="16" l="1"/>
  <c r="D25" i="16" s="1"/>
  <c r="B25" i="16"/>
  <c r="F25" i="16" s="1"/>
  <c r="B24" i="15"/>
  <c r="E24" i="15"/>
  <c r="D24" i="15" s="1"/>
  <c r="E25" i="9"/>
  <c r="B25" i="9"/>
  <c r="B26" i="16" l="1"/>
  <c r="E26" i="16"/>
  <c r="D26" i="16" s="1"/>
  <c r="F24" i="15"/>
  <c r="D25" i="9"/>
  <c r="F25" i="9" s="1"/>
  <c r="F26" i="16" l="1"/>
  <c r="E25" i="15"/>
  <c r="D25" i="15" s="1"/>
  <c r="B25" i="15"/>
  <c r="E26" i="9"/>
  <c r="B26" i="9"/>
  <c r="F25" i="15" l="1"/>
  <c r="E26" i="15" s="1"/>
  <c r="D26" i="15" s="1"/>
  <c r="E27" i="16"/>
  <c r="D27" i="16" s="1"/>
  <c r="B27" i="16"/>
  <c r="B26" i="15"/>
  <c r="D26" i="9"/>
  <c r="F26" i="9" s="1"/>
  <c r="F27" i="16" l="1"/>
  <c r="B28" i="16" s="1"/>
  <c r="E28" i="16"/>
  <c r="F26" i="15"/>
  <c r="E27" i="9"/>
  <c r="D27" i="9" s="1"/>
  <c r="B27" i="9"/>
  <c r="D28" i="16" l="1"/>
  <c r="F28" i="16" s="1"/>
  <c r="J14" i="16"/>
  <c r="B27" i="15"/>
  <c r="E27" i="15"/>
  <c r="D27" i="15" s="1"/>
  <c r="F27" i="9"/>
  <c r="K14" i="16" l="1"/>
  <c r="F27" i="15"/>
  <c r="E28" i="9"/>
  <c r="D28" i="9" s="1"/>
  <c r="B28" i="9"/>
  <c r="H22" i="14" l="1"/>
  <c r="H21" i="14" s="1"/>
  <c r="H16" i="14" s="1"/>
  <c r="G25" i="13"/>
  <c r="G26" i="13" s="1"/>
  <c r="F28" i="9"/>
  <c r="B28" i="15"/>
  <c r="E28" i="15"/>
  <c r="E29" i="9" l="1"/>
  <c r="D29" i="9" s="1"/>
  <c r="B29" i="9"/>
  <c r="D28" i="15"/>
  <c r="F28" i="15" s="1"/>
  <c r="J14" i="15"/>
  <c r="F29" i="9"/>
  <c r="B30" i="9" l="1"/>
  <c r="K14" i="15"/>
  <c r="E30" i="9"/>
  <c r="D30" i="9" s="1"/>
  <c r="F30" i="9"/>
  <c r="C24" i="12"/>
  <c r="C26" i="12" s="1"/>
  <c r="C27" i="12" s="1"/>
  <c r="E25" i="13" l="1"/>
  <c r="E26" i="13" s="1"/>
  <c r="F22" i="14"/>
  <c r="F21" i="14" s="1"/>
  <c r="F16" i="14" s="1"/>
  <c r="E31" i="9"/>
  <c r="D31" i="9" s="1"/>
  <c r="B31" i="9"/>
  <c r="C28" i="12"/>
  <c r="C24" i="14" l="1"/>
  <c r="C25" i="14" s="1"/>
  <c r="D4" i="14" s="1"/>
  <c r="C10" i="12"/>
  <c r="C11" i="12" s="1"/>
  <c r="C12" i="12" s="1"/>
  <c r="B30" i="13"/>
  <c r="F31" i="9"/>
  <c r="E32" i="9" l="1"/>
  <c r="D32" i="9" s="1"/>
  <c r="B32" i="9"/>
  <c r="F32" i="9" l="1"/>
  <c r="B33" i="9"/>
  <c r="E33" i="9"/>
  <c r="D33" i="9" l="1"/>
  <c r="F33" i="9" s="1"/>
  <c r="J19" i="9"/>
  <c r="E25" i="12" s="1"/>
  <c r="E9" i="14" s="1"/>
  <c r="E22" i="14" l="1"/>
  <c r="D26" i="13"/>
  <c r="K19" i="9"/>
  <c r="E21" i="14" l="1"/>
  <c r="E16" i="14" s="1"/>
  <c r="D16" i="14"/>
  <c r="C26" i="13"/>
  <c r="D19" i="12" l="1"/>
  <c r="D24" i="12" s="1"/>
  <c r="E23" i="12"/>
  <c r="B3" i="6"/>
  <c r="B4" i="6" s="1"/>
  <c r="B11" i="6" s="1"/>
  <c r="D26" i="12" l="1"/>
  <c r="D27" i="12" s="1"/>
  <c r="D14" i="6"/>
  <c r="D18" i="6" s="1"/>
  <c r="E19" i="12"/>
  <c r="E24" i="12" s="1"/>
  <c r="E8" i="14"/>
  <c r="D18" i="13"/>
  <c r="D19" i="13" s="1"/>
  <c r="F23" i="12"/>
  <c r="D9" i="12"/>
  <c r="B19" i="7"/>
  <c r="B35" i="7" s="1"/>
  <c r="B36" i="7" s="1"/>
  <c r="B29" i="13" s="1"/>
  <c r="B16" i="6"/>
  <c r="B17" i="6" s="1"/>
  <c r="E26" i="12" l="1"/>
  <c r="E27" i="12" s="1"/>
  <c r="G23" i="12"/>
  <c r="E18" i="13"/>
  <c r="E19" i="13" s="1"/>
  <c r="F8" i="14"/>
  <c r="F19" i="12"/>
  <c r="F24" i="12" s="1"/>
  <c r="C29" i="13"/>
  <c r="F29" i="13"/>
  <c r="H29" i="13"/>
  <c r="E29" i="13"/>
  <c r="G29" i="13"/>
  <c r="D29" i="13"/>
  <c r="B31" i="13"/>
  <c r="B32" i="13" s="1"/>
  <c r="E9" i="12"/>
  <c r="D10" i="12"/>
  <c r="B37" i="7"/>
  <c r="B4" i="13" s="1"/>
  <c r="B8" i="13" s="1"/>
  <c r="B21" i="13" s="1"/>
  <c r="D28" i="12"/>
  <c r="B43" i="14" s="1"/>
  <c r="E28" i="12"/>
  <c r="F26" i="12" l="1"/>
  <c r="F27" i="12" s="1"/>
  <c r="E6" i="14"/>
  <c r="E5" i="14" s="1"/>
  <c r="B33" i="13"/>
  <c r="B34" i="13" s="1"/>
  <c r="C30" i="13"/>
  <c r="D30" i="13" s="1"/>
  <c r="D31" i="13" s="1"/>
  <c r="D32" i="13" s="1"/>
  <c r="D6" i="14"/>
  <c r="D5" i="14" s="1"/>
  <c r="G8" i="14"/>
  <c r="F18" i="13"/>
  <c r="F19" i="13" s="1"/>
  <c r="G19" i="12"/>
  <c r="G24" i="12" s="1"/>
  <c r="H23" i="12"/>
  <c r="D11" i="12"/>
  <c r="D12" i="12" s="1"/>
  <c r="F9" i="12"/>
  <c r="E10" i="12"/>
  <c r="F28" i="12" l="1"/>
  <c r="E24" i="14"/>
  <c r="E27" i="14"/>
  <c r="B33" i="14" s="1"/>
  <c r="D24" i="14"/>
  <c r="D25" i="14" s="1"/>
  <c r="E4" i="14" s="1"/>
  <c r="D27" i="14"/>
  <c r="B32" i="14" s="1"/>
  <c r="F6" i="14"/>
  <c r="F5" i="14" s="1"/>
  <c r="D43" i="14"/>
  <c r="G26" i="12"/>
  <c r="G27" i="12" s="1"/>
  <c r="E30" i="13"/>
  <c r="E31" i="13" s="1"/>
  <c r="E32" i="13" s="1"/>
  <c r="C31" i="13"/>
  <c r="H8" i="14"/>
  <c r="G18" i="13"/>
  <c r="H19" i="12"/>
  <c r="H24" i="12" s="1"/>
  <c r="E11" i="12"/>
  <c r="E12" i="12" s="1"/>
  <c r="G9" i="12"/>
  <c r="F10" i="12"/>
  <c r="E25" i="14" l="1"/>
  <c r="F4" i="14" s="1"/>
  <c r="C4" i="13"/>
  <c r="C8" i="13" s="1"/>
  <c r="C21" i="13" s="1"/>
  <c r="B42" i="14" s="1"/>
  <c r="G28" i="12"/>
  <c r="F30" i="13" s="1"/>
  <c r="F31" i="13" s="1"/>
  <c r="F32" i="13" s="1"/>
  <c r="F24" i="14"/>
  <c r="F27" i="14"/>
  <c r="B34" i="14" s="1"/>
  <c r="H26" i="12"/>
  <c r="H27" i="12" s="1"/>
  <c r="C32" i="13"/>
  <c r="C43" i="14"/>
  <c r="G19" i="13"/>
  <c r="H18" i="13"/>
  <c r="H19" i="13" s="1"/>
  <c r="F11" i="12"/>
  <c r="F12" i="12" s="1"/>
  <c r="G10" i="12"/>
  <c r="H9" i="12"/>
  <c r="F25" i="14" l="1"/>
  <c r="D4" i="13"/>
  <c r="D8" i="13" s="1"/>
  <c r="D21" i="13" s="1"/>
  <c r="C42" i="14" s="1"/>
  <c r="C33" i="13"/>
  <c r="C34" i="13" s="1"/>
  <c r="E4" i="13"/>
  <c r="E8" i="13" s="1"/>
  <c r="E21" i="13" s="1"/>
  <c r="E33" i="13" s="1"/>
  <c r="E34" i="13" s="1"/>
  <c r="G4" i="14"/>
  <c r="H28" i="12"/>
  <c r="G30" i="13" s="1"/>
  <c r="H30" i="13" s="1"/>
  <c r="H31" i="13" s="1"/>
  <c r="H32" i="13" s="1"/>
  <c r="G6" i="14"/>
  <c r="G5" i="14" s="1"/>
  <c r="E43" i="14"/>
  <c r="H4" i="13"/>
  <c r="H8" i="13" s="1"/>
  <c r="H21" i="13" s="1"/>
  <c r="H33" i="13" s="1"/>
  <c r="H10" i="12"/>
  <c r="G11" i="12"/>
  <c r="G12" i="12" s="1"/>
  <c r="D42" i="14" l="1"/>
  <c r="D33" i="13"/>
  <c r="D34" i="13" s="1"/>
  <c r="F43" i="14"/>
  <c r="G31" i="13"/>
  <c r="G32" i="13" s="1"/>
  <c r="H6" i="14"/>
  <c r="H5" i="14" s="1"/>
  <c r="H24" i="14" s="1"/>
  <c r="H34" i="13"/>
  <c r="G24" i="14"/>
  <c r="G25" i="14" s="1"/>
  <c r="G27" i="14"/>
  <c r="B35" i="14" s="1"/>
  <c r="H11" i="12"/>
  <c r="H12" i="12" s="1"/>
  <c r="H27" i="14" l="1"/>
  <c r="B36" i="14" s="1"/>
  <c r="H25" i="14"/>
  <c r="G4" i="13" s="1"/>
  <c r="G8" i="13" s="1"/>
  <c r="E32" i="14"/>
  <c r="E31" i="14"/>
  <c r="B44" i="14"/>
  <c r="F4" i="13"/>
  <c r="F8" i="13" s="1"/>
  <c r="F21" i="13" s="1"/>
  <c r="H4" i="14"/>
  <c r="G21" i="13"/>
  <c r="F42" i="14" s="1"/>
  <c r="G33" i="13" l="1"/>
  <c r="G34" i="13" s="1"/>
  <c r="E42" i="14"/>
  <c r="F33" i="13"/>
  <c r="F34" i="13" s="1"/>
</calcChain>
</file>

<file path=xl/sharedStrings.xml><?xml version="1.0" encoding="utf-8"?>
<sst xmlns="http://schemas.openxmlformats.org/spreadsheetml/2006/main" count="489" uniqueCount="310">
  <si>
    <t>Diligencie los siguientes valores de referencia:</t>
  </si>
  <si>
    <t>Periodo de pago</t>
  </si>
  <si>
    <t>Salario mínimo</t>
  </si>
  <si>
    <t>Periodo prueba 2025</t>
  </si>
  <si>
    <t>Auxilio de transporte</t>
  </si>
  <si>
    <t>Fecha de liquidación</t>
  </si>
  <si>
    <t>¿Está exonerado del pago de aportes?</t>
  </si>
  <si>
    <t>Si</t>
  </si>
  <si>
    <t>DPTO</t>
  </si>
  <si>
    <t>CARGO</t>
  </si>
  <si>
    <t>Nombre del
empleado</t>
  </si>
  <si>
    <t>Devengado</t>
  </si>
  <si>
    <t>Firma del 
 empleado</t>
  </si>
  <si>
    <t>Salario 
básico</t>
  </si>
  <si>
    <t>Días 
liquidados</t>
  </si>
  <si>
    <t>Salario 
devengado</t>
  </si>
  <si>
    <t>Horas 
extras</t>
  </si>
  <si>
    <t>Recargos 
nocturnos</t>
  </si>
  <si>
    <t>Trabajo dominical 
y festivo</t>
  </si>
  <si>
    <t>Auxilio de
transporte</t>
  </si>
  <si>
    <t>Total
devengado</t>
  </si>
  <si>
    <t>Salud</t>
  </si>
  <si>
    <t>Pensión</t>
  </si>
  <si>
    <t>Administrativo</t>
  </si>
  <si>
    <t>GERENTE DE INVERSIONES</t>
  </si>
  <si>
    <t>Pedro Carvajal (fijo)</t>
  </si>
  <si>
    <t>María Peña (fijo)</t>
  </si>
  <si>
    <t>Oscar Trejo(fijo)</t>
  </si>
  <si>
    <t>Totales</t>
  </si>
  <si>
    <t>Costo de ventas</t>
  </si>
  <si>
    <t xml:space="preserve">Elemento </t>
  </si>
  <si>
    <t>COD</t>
  </si>
  <si>
    <t>Precio / Kg vivo</t>
  </si>
  <si>
    <t>Costos mensuales</t>
  </si>
  <si>
    <t>Cerdo en pie</t>
  </si>
  <si>
    <t>Cantidad / Unidades (kg)</t>
  </si>
  <si>
    <t>Cantidad (mes) Kg</t>
  </si>
  <si>
    <t>Cantidad</t>
  </si>
  <si>
    <t>Precio Unit</t>
  </si>
  <si>
    <t>Costo total</t>
  </si>
  <si>
    <t>Columna1</t>
  </si>
  <si>
    <t>Columna2</t>
  </si>
  <si>
    <t>Columna3</t>
  </si>
  <si>
    <t>Columna4</t>
  </si>
  <si>
    <t>OPERARIO</t>
  </si>
  <si>
    <t>CONTADOR</t>
  </si>
  <si>
    <t>Arriendo Oficina</t>
  </si>
  <si>
    <t>Servicios Públicos</t>
  </si>
  <si>
    <t>Transporte</t>
  </si>
  <si>
    <t>Sacrificio</t>
  </si>
  <si>
    <t>Mantenimiento y reparaciones</t>
  </si>
  <si>
    <t>Elemento</t>
  </si>
  <si>
    <t>Materia prima</t>
  </si>
  <si>
    <t>Mano de obra directa</t>
  </si>
  <si>
    <t>CIF</t>
  </si>
  <si>
    <t>Costo de producción total</t>
  </si>
  <si>
    <t xml:space="preserve">Servicios públicos </t>
  </si>
  <si>
    <t xml:space="preserve">Depreciaciones </t>
  </si>
  <si>
    <t>Total gastos de administración</t>
  </si>
  <si>
    <t>Gastos de ventas</t>
  </si>
  <si>
    <t>Sueldo de vendedores</t>
  </si>
  <si>
    <t>Publicidad</t>
  </si>
  <si>
    <t xml:space="preserve">Comisiones </t>
  </si>
  <si>
    <t>Total gastos de ventas</t>
  </si>
  <si>
    <t>Total gastos operativos</t>
  </si>
  <si>
    <t>GASTOS Y COSTOS</t>
  </si>
  <si>
    <t>Costos de producción</t>
  </si>
  <si>
    <t>Gastos operativos</t>
  </si>
  <si>
    <t xml:space="preserve">Monto </t>
  </si>
  <si>
    <t>Tabla 1. Activos fijos de la empresa.</t>
  </si>
  <si>
    <t>Activos Fijos</t>
  </si>
  <si>
    <t>Costo</t>
  </si>
  <si>
    <t>AÑOS</t>
  </si>
  <si>
    <t>Total</t>
  </si>
  <si>
    <t>Año 1</t>
  </si>
  <si>
    <t>Año 2</t>
  </si>
  <si>
    <t>Año 3</t>
  </si>
  <si>
    <t>Año 4</t>
  </si>
  <si>
    <t>Año 5</t>
  </si>
  <si>
    <t>Máquina de empacado al vacío</t>
  </si>
  <si>
    <t>Sierra eléctrica</t>
  </si>
  <si>
    <t xml:space="preserve">Molino de carne eléctrico </t>
  </si>
  <si>
    <t>Selladora de bolsas</t>
  </si>
  <si>
    <t>Refrigerador industrial</t>
  </si>
  <si>
    <t>Mesa de trabajo en acero</t>
  </si>
  <si>
    <t xml:space="preserve">Bascula electrónica </t>
  </si>
  <si>
    <t>Transportador de carga</t>
  </si>
  <si>
    <t xml:space="preserve">Cámara frigorífica  </t>
  </si>
  <si>
    <t xml:space="preserve">Unidades de refrigeración </t>
  </si>
  <si>
    <t>P.U</t>
  </si>
  <si>
    <t>P.T</t>
  </si>
  <si>
    <t xml:space="preserve">Activo </t>
  </si>
  <si>
    <t xml:space="preserve">Costo </t>
  </si>
  <si>
    <t>VR</t>
  </si>
  <si>
    <t>VU</t>
  </si>
  <si>
    <t>Dep Anual</t>
  </si>
  <si>
    <t xml:space="preserve">Dep Mensual </t>
  </si>
  <si>
    <t>V.U</t>
  </si>
  <si>
    <t xml:space="preserve">Total de inversión </t>
  </si>
  <si>
    <t xml:space="preserve">Capital de trabajo </t>
  </si>
  <si>
    <t xml:space="preserve">Monto inicial </t>
  </si>
  <si>
    <t>Gastos recurrentes</t>
  </si>
  <si>
    <t>Meses de gastos proyectados</t>
  </si>
  <si>
    <t xml:space="preserve">Total de capital de trabajo </t>
  </si>
  <si>
    <t xml:space="preserve">Gastos de constitución </t>
  </si>
  <si>
    <t xml:space="preserve">Honorarios juridicos </t>
  </si>
  <si>
    <t xml:space="preserve">Gestión notarial </t>
  </si>
  <si>
    <t xml:space="preserve">Escritura de estatutos </t>
  </si>
  <si>
    <t>Registro en cámara de comercio</t>
  </si>
  <si>
    <t xml:space="preserve">Libros societarios </t>
  </si>
  <si>
    <t>Gestiones internas de registro</t>
  </si>
  <si>
    <t>Honorarios contables</t>
  </si>
  <si>
    <t>Honorarios servicio TI</t>
  </si>
  <si>
    <t>Pérmisos legales</t>
  </si>
  <si>
    <t xml:space="preserve">Total gastos de organización </t>
  </si>
  <si>
    <t xml:space="preserve">Inversión total </t>
  </si>
  <si>
    <t xml:space="preserve">Aportes de capital </t>
  </si>
  <si>
    <t xml:space="preserve">Préstamo bancario </t>
  </si>
  <si>
    <t>Inversiones externas</t>
  </si>
  <si>
    <t>TOTALES</t>
  </si>
  <si>
    <t>Periodo</t>
  </si>
  <si>
    <t>Saldo inicial</t>
  </si>
  <si>
    <t>Interes</t>
  </si>
  <si>
    <t>Saldo final</t>
  </si>
  <si>
    <t>CONCEPTO</t>
  </si>
  <si>
    <t xml:space="preserve">RUBRO </t>
  </si>
  <si>
    <t>CAPITAL</t>
  </si>
  <si>
    <t>TASA %</t>
  </si>
  <si>
    <t xml:space="preserve">DURACIÓN </t>
  </si>
  <si>
    <t>CUOTA</t>
  </si>
  <si>
    <t>Precio unitario</t>
  </si>
  <si>
    <t>Precio total</t>
  </si>
  <si>
    <t>Tocino de Pierna</t>
  </si>
  <si>
    <t>Murillos</t>
  </si>
  <si>
    <t>Punta de Anca</t>
  </si>
  <si>
    <t>Tocino de Brazo</t>
  </si>
  <si>
    <t>Tocino de Papada</t>
  </si>
  <si>
    <t>Chuleta de Brazo</t>
  </si>
  <si>
    <t>Loncha de Brazo</t>
  </si>
  <si>
    <t>Falda</t>
  </si>
  <si>
    <t>Tocineta Piano</t>
  </si>
  <si>
    <t>Costilla Campesina</t>
  </si>
  <si>
    <t>Costilla de Pecho</t>
  </si>
  <si>
    <t>Tocineta con Costilla</t>
  </si>
  <si>
    <t>Tocino de Lomo</t>
  </si>
  <si>
    <t>Chuleta de Lomo</t>
  </si>
  <si>
    <t>Medallones y Mariposas de Lomo</t>
  </si>
  <si>
    <t>Lomo Almendra</t>
  </si>
  <si>
    <t>Solomito sin Cabeza</t>
  </si>
  <si>
    <t>Chuleta Doble</t>
  </si>
  <si>
    <t>Unidades a vender (Kg)</t>
  </si>
  <si>
    <t>ESTADO DE COSTOS</t>
  </si>
  <si>
    <t>AÑO 1</t>
  </si>
  <si>
    <t>AÑO 2</t>
  </si>
  <si>
    <t>AÑO 3</t>
  </si>
  <si>
    <t>AÑO 4</t>
  </si>
  <si>
    <t>AÑO 5</t>
  </si>
  <si>
    <t>AÑO 6</t>
  </si>
  <si>
    <t>II MP =</t>
  </si>
  <si>
    <t>IF MP =</t>
  </si>
  <si>
    <t xml:space="preserve">   MOD</t>
  </si>
  <si>
    <t xml:space="preserve">   CIF</t>
  </si>
  <si>
    <t>COSTO DE PRODUCTOS PRODUCIDOS</t>
  </si>
  <si>
    <t>Inv Inicial PP</t>
  </si>
  <si>
    <t>COSTO DE PRODUCTOS TERMINADOS</t>
  </si>
  <si>
    <t>Inv Inicial PT</t>
  </si>
  <si>
    <t>COSTO DE LA MERCANCIA VENDIDA</t>
  </si>
  <si>
    <t>0</t>
  </si>
  <si>
    <t>ESTADO DE RESULTADOS</t>
  </si>
  <si>
    <t xml:space="preserve">Ingresos </t>
  </si>
  <si>
    <t xml:space="preserve">Ventas </t>
  </si>
  <si>
    <t>UBV</t>
  </si>
  <si>
    <t>Gastos de operaciones</t>
  </si>
  <si>
    <t>Gastos de adm. Y ventas</t>
  </si>
  <si>
    <t>Total gastos de operaciones</t>
  </si>
  <si>
    <t>ISLR</t>
  </si>
  <si>
    <t>Utilidad neta</t>
  </si>
  <si>
    <t>Columna5</t>
  </si>
  <si>
    <t>Columna6</t>
  </si>
  <si>
    <t>Columna7</t>
  </si>
  <si>
    <t>BALANCE GENERAL</t>
  </si>
  <si>
    <t>Activos corrientes</t>
  </si>
  <si>
    <t>Caja</t>
  </si>
  <si>
    <t xml:space="preserve">         TOTAL ACTIVOS CORRIENTES</t>
  </si>
  <si>
    <t>Depreciacion Acumulada</t>
  </si>
  <si>
    <t>Activos fijos netos</t>
  </si>
  <si>
    <t>DIFERIDOS</t>
  </si>
  <si>
    <t>Total de activos diferidos</t>
  </si>
  <si>
    <t>TOTAL DE ACTIVOS</t>
  </si>
  <si>
    <t>Obligaciones financieras</t>
  </si>
  <si>
    <t>Total Pasivos</t>
  </si>
  <si>
    <t>Patrimonio</t>
  </si>
  <si>
    <t>Capital social</t>
  </si>
  <si>
    <t xml:space="preserve">   Total patrimonio</t>
  </si>
  <si>
    <t xml:space="preserve">Gastos de organización </t>
  </si>
  <si>
    <t>FLUJO DE CAJA</t>
  </si>
  <si>
    <t>TIR</t>
  </si>
  <si>
    <t>AÑO 0</t>
  </si>
  <si>
    <t>-21,22%</t>
  </si>
  <si>
    <t>Indicadores</t>
  </si>
  <si>
    <t>ROA</t>
  </si>
  <si>
    <t>ROE</t>
  </si>
  <si>
    <t>WACC</t>
  </si>
  <si>
    <t>VPN</t>
  </si>
  <si>
    <t xml:space="preserve"> TOTAL </t>
  </si>
  <si>
    <t>Ítem</t>
  </si>
  <si>
    <t>1 año</t>
  </si>
  <si>
    <t>COSTO DE LA MATERIA PRIMA CONSUMIDA</t>
  </si>
  <si>
    <t>VENDEDOR</t>
  </si>
  <si>
    <t>Jonathan Toro (fijo)</t>
  </si>
  <si>
    <t>INDIRECTA</t>
  </si>
  <si>
    <t>DIRECTA</t>
  </si>
  <si>
    <t xml:space="preserve"> ACTIVO </t>
  </si>
  <si>
    <t>SUMAS IGUALES</t>
  </si>
  <si>
    <t>Inv Final PP</t>
  </si>
  <si>
    <t>Inv Final PT</t>
  </si>
  <si>
    <t>Item</t>
  </si>
  <si>
    <t>Criterio / Año</t>
  </si>
  <si>
    <t>VENTAS</t>
  </si>
  <si>
    <t>(-)</t>
  </si>
  <si>
    <t>(=)</t>
  </si>
  <si>
    <t>UTILIDAD BRUTA</t>
  </si>
  <si>
    <t>Gastos Operacionales</t>
  </si>
  <si>
    <t>UTILIDAD OPERACIONAL</t>
  </si>
  <si>
    <t>UTILIDAD ANTES DE IMPUESTOS (UAI)</t>
  </si>
  <si>
    <t>UTILIDAD NETA</t>
  </si>
  <si>
    <t>NUEVO ESTADO DE RESULTADOS</t>
  </si>
  <si>
    <t>Deuda Año 1</t>
  </si>
  <si>
    <t>Deuda Año 2</t>
  </si>
  <si>
    <t>EA</t>
  </si>
  <si>
    <t>meses</t>
  </si>
  <si>
    <t>Tasa Equivalanete</t>
  </si>
  <si>
    <t>mensual</t>
  </si>
  <si>
    <t>Fija</t>
  </si>
  <si>
    <t>Cuota</t>
  </si>
  <si>
    <t>Amortiza</t>
  </si>
  <si>
    <t>Amortización</t>
  </si>
  <si>
    <t>Neto
 pagado con Seguridad Social</t>
  </si>
  <si>
    <t>TOTAL</t>
  </si>
  <si>
    <t>MES</t>
  </si>
  <si>
    <t>Margen Presupuestal del 27%</t>
  </si>
  <si>
    <t>Acueducto y Alcantarillado</t>
  </si>
  <si>
    <t>Servicios Públicos (MENSUALES)</t>
  </si>
  <si>
    <t>Energía Eléctrica</t>
  </si>
  <si>
    <t>Internet</t>
  </si>
  <si>
    <t>Telefonía Industrial</t>
  </si>
  <si>
    <t>Compras (12 meses)</t>
  </si>
  <si>
    <t>Mano de Obra Indirecta</t>
  </si>
  <si>
    <t>Gasto en Publicidad Anual</t>
  </si>
  <si>
    <t>Costo de Ventas (incluye CIF)</t>
  </si>
  <si>
    <t>Comisiones y Adicionales</t>
  </si>
  <si>
    <t>Depreciación Equipos</t>
  </si>
  <si>
    <t>anual</t>
  </si>
  <si>
    <t>Promedio Mes</t>
  </si>
  <si>
    <t>Mensual</t>
  </si>
  <si>
    <t>TOTAL MES</t>
  </si>
  <si>
    <t>Año 0</t>
  </si>
  <si>
    <t xml:space="preserve"> -   </t>
  </si>
  <si>
    <t>Inventarios de Materias Primas</t>
  </si>
  <si>
    <t>Inventarios de Producto Producido</t>
  </si>
  <si>
    <t>Inventarios de Producto Terminados</t>
  </si>
  <si>
    <t>Proveedores (30% inventario anual)</t>
  </si>
  <si>
    <t>SALDO INICIAL</t>
  </si>
  <si>
    <t>FLUJO OPERACIONAL</t>
  </si>
  <si>
    <t>INGRESOS</t>
  </si>
  <si>
    <t>EGRESOS</t>
  </si>
  <si>
    <t>FLUJO DE INVERSIÓN</t>
  </si>
  <si>
    <t>FLUJO DE FINANCIACIÓN</t>
  </si>
  <si>
    <t>Aportes a Capital</t>
  </si>
  <si>
    <t>Gastos Financieros</t>
  </si>
  <si>
    <t>Abonos a Capital</t>
  </si>
  <si>
    <t>FLUJO DE EFECTIVO DISPONIBLE</t>
  </si>
  <si>
    <t>Saldo Final</t>
  </si>
  <si>
    <t>Inversión Externa</t>
  </si>
  <si>
    <t>Financiación</t>
  </si>
  <si>
    <t>ARL</t>
  </si>
  <si>
    <t>Prima de Servicios</t>
  </si>
  <si>
    <t>Vacaciones</t>
  </si>
  <si>
    <t xml:space="preserve">Pagos Adicionales </t>
  </si>
  <si>
    <t>SENA + CCF + ICBF</t>
  </si>
  <si>
    <t>Intereses</t>
  </si>
  <si>
    <t>Capital</t>
  </si>
  <si>
    <t>Pasivos (crédito)</t>
  </si>
  <si>
    <t xml:space="preserve">Equity </t>
  </si>
  <si>
    <t>Intereses Sobre Cesantías</t>
  </si>
  <si>
    <t>Cesantías</t>
  </si>
  <si>
    <t>Utilidades retenidas (no dividendo)</t>
  </si>
  <si>
    <t>Gastos Financieros (créditos)</t>
  </si>
  <si>
    <t>2 años</t>
  </si>
  <si>
    <t>Báscula de Apoyo de Proceso</t>
  </si>
  <si>
    <t>Compradas con CRÉDITO 2, de 75 millones (FINANCIAMIENTO 2)</t>
  </si>
  <si>
    <t>Unidad más grande de Refrigeración</t>
  </si>
  <si>
    <t>Compras nuevas con Crédito</t>
  </si>
  <si>
    <t>Año</t>
  </si>
  <si>
    <t>Nevera Industrial de Almacenaje</t>
  </si>
  <si>
    <t>Créditos</t>
  </si>
  <si>
    <t>Diferidos</t>
  </si>
  <si>
    <t>Impuestos (35%)</t>
  </si>
  <si>
    <t>Diferido del periodo</t>
  </si>
  <si>
    <t>Activos fijos</t>
  </si>
  <si>
    <t>Capital de trabajo</t>
  </si>
  <si>
    <t>Gtos organización (diferido)</t>
  </si>
  <si>
    <t>Depreciaciones</t>
  </si>
  <si>
    <t>Valor residual</t>
  </si>
  <si>
    <t>TOTAL PASIVO +PATRIMONIO</t>
  </si>
  <si>
    <t>FLUJO DE CAJA LIBRE</t>
  </si>
  <si>
    <t>Es económicamente viable.</t>
  </si>
  <si>
    <t>Kg a vender</t>
  </si>
  <si>
    <t>Precio promedio por kg</t>
  </si>
  <si>
    <t>Ventas año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</si>
</sst>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_(&quot;$&quot;\ * #,##0.00_);_(&quot;$&quot;\ * \(#,##0.00\);_(&quot;$&quot;\ * &quot;-&quot;??_);_(@_)"/>
    <numFmt numFmtId="168" formatCode="_(&quot;$&quot;\ * #,##0_);_(&quot;$&quot;\ * \(#,##0\);_(&quot;$&quot;\ * &quot;-&quot;??_);_(@_)"/>
    <numFmt numFmtId="169" formatCode="_(* #,##0.00_);_(* \(#,##0.00\);_(* &quot;-&quot;??_);_(@_)"/>
    <numFmt numFmtId="170" formatCode="_-[$$-240A]\ * #,##0.00_-;\-[$$-240A]\ * #,##0.00_-;_-[$$-240A]\ * &quot;-&quot;??_-;_-@_-"/>
    <numFmt numFmtId="171" formatCode="0.000%"/>
    <numFmt numFmtId="172" formatCode="_ * #,##0.000_ ;_ * \-#,##0.0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EE3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8">
    <xf numFmtId="0" fontId="0" fillId="0" borderId="0" xfId="0"/>
    <xf numFmtId="164" fontId="8" fillId="4" borderId="4" xfId="2" applyFont="1" applyFill="1" applyBorder="1" applyAlignment="1" applyProtection="1">
      <alignment horizontal="center" vertical="center"/>
      <protection locked="0"/>
    </xf>
    <xf numFmtId="164" fontId="2" fillId="6" borderId="4" xfId="2" applyFont="1" applyFill="1" applyBorder="1" applyAlignment="1" applyProtection="1">
      <alignment horizontal="center" vertical="center"/>
      <protection locked="0"/>
    </xf>
    <xf numFmtId="164" fontId="0" fillId="4" borderId="0" xfId="2" applyFont="1" applyFill="1" applyProtection="1">
      <protection locked="0"/>
    </xf>
    <xf numFmtId="164" fontId="4" fillId="10" borderId="4" xfId="2" applyFont="1" applyFill="1" applyBorder="1" applyAlignment="1" applyProtection="1">
      <alignment horizontal="center" vertical="center" wrapText="1"/>
      <protection locked="0"/>
    </xf>
    <xf numFmtId="164" fontId="4" fillId="11" borderId="4" xfId="2" applyFont="1" applyFill="1" applyBorder="1" applyAlignment="1" applyProtection="1">
      <alignment horizontal="center" vertical="center"/>
      <protection locked="0"/>
    </xf>
    <xf numFmtId="164" fontId="4" fillId="11" borderId="4" xfId="2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64" fontId="8" fillId="4" borderId="4" xfId="2" applyFont="1" applyFill="1" applyBorder="1" applyProtection="1">
      <protection locked="0"/>
    </xf>
    <xf numFmtId="166" fontId="0" fillId="0" borderId="0" xfId="1" applyNumberFormat="1" applyFont="1"/>
    <xf numFmtId="164" fontId="0" fillId="4" borderId="4" xfId="2" applyFont="1" applyFill="1" applyBorder="1" applyProtection="1">
      <protection locked="0"/>
    </xf>
    <xf numFmtId="0" fontId="0" fillId="0" borderId="12" xfId="0" applyBorder="1"/>
    <xf numFmtId="164" fontId="4" fillId="4" borderId="4" xfId="2" applyFont="1" applyFill="1" applyBorder="1" applyProtection="1">
      <protection locked="0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5" fontId="0" fillId="0" borderId="0" xfId="1" applyFont="1"/>
    <xf numFmtId="0" fontId="0" fillId="0" borderId="15" xfId="0" applyBorder="1"/>
    <xf numFmtId="0" fontId="4" fillId="0" borderId="0" xfId="0" applyFont="1"/>
    <xf numFmtId="0" fontId="8" fillId="0" borderId="0" xfId="0" applyFont="1"/>
    <xf numFmtId="165" fontId="4" fillId="0" borderId="0" xfId="1" applyFont="1"/>
    <xf numFmtId="0" fontId="11" fillId="0" borderId="0" xfId="0" applyFont="1"/>
    <xf numFmtId="165" fontId="11" fillId="0" borderId="0" xfId="1" applyFont="1"/>
    <xf numFmtId="165" fontId="0" fillId="0" borderId="0" xfId="0" applyNumberFormat="1"/>
    <xf numFmtId="165" fontId="11" fillId="0" borderId="0" xfId="0" applyNumberFormat="1" applyFont="1"/>
    <xf numFmtId="165" fontId="4" fillId="0" borderId="0" xfId="1" applyFont="1" applyAlignment="1">
      <alignment horizontal="center"/>
    </xf>
    <xf numFmtId="0" fontId="4" fillId="0" borderId="0" xfId="4" applyFont="1" applyAlignment="1">
      <alignment horizontal="left" vertical="center"/>
    </xf>
    <xf numFmtId="0" fontId="4" fillId="0" borderId="16" xfId="4" applyFont="1" applyBorder="1" applyAlignment="1">
      <alignment horizontal="left" vertical="center"/>
    </xf>
    <xf numFmtId="0" fontId="4" fillId="0" borderId="17" xfId="4" applyFont="1" applyBorder="1" applyAlignment="1">
      <alignment horizontal="left" vertical="center"/>
    </xf>
    <xf numFmtId="0" fontId="1" fillId="0" borderId="18" xfId="4" applyFont="1" applyBorder="1" applyAlignment="1">
      <alignment horizontal="left" vertical="center"/>
    </xf>
    <xf numFmtId="165" fontId="1" fillId="0" borderId="17" xfId="1" applyFont="1" applyBorder="1" applyAlignment="1">
      <alignment horizontal="left" vertical="center"/>
    </xf>
    <xf numFmtId="0" fontId="4" fillId="0" borderId="18" xfId="4" applyFont="1" applyBorder="1" applyAlignment="1">
      <alignment horizontal="left" vertical="center"/>
    </xf>
    <xf numFmtId="168" fontId="4" fillId="0" borderId="19" xfId="5" applyNumberFormat="1" applyFont="1" applyBorder="1" applyAlignment="1">
      <alignment horizontal="right" vertical="center"/>
    </xf>
    <xf numFmtId="0" fontId="1" fillId="0" borderId="0" xfId="4" applyFont="1"/>
    <xf numFmtId="0" fontId="4" fillId="0" borderId="0" xfId="4" applyFont="1"/>
    <xf numFmtId="165" fontId="1" fillId="0" borderId="0" xfId="1" applyFont="1"/>
    <xf numFmtId="0" fontId="11" fillId="0" borderId="0" xfId="4" applyFont="1"/>
    <xf numFmtId="165" fontId="11" fillId="0" borderId="0" xfId="4" applyNumberFormat="1" applyFont="1"/>
    <xf numFmtId="165" fontId="4" fillId="0" borderId="0" xfId="1" applyFont="1" applyBorder="1" applyAlignment="1">
      <alignment horizontal="left" vertical="center"/>
    </xf>
    <xf numFmtId="165" fontId="1" fillId="0" borderId="17" xfId="1" applyFont="1" applyBorder="1" applyAlignment="1">
      <alignment horizontal="center" vertical="center"/>
    </xf>
    <xf numFmtId="0" fontId="15" fillId="13" borderId="20" xfId="0" applyFont="1" applyFill="1" applyBorder="1"/>
    <xf numFmtId="0" fontId="15" fillId="13" borderId="21" xfId="0" applyFont="1" applyFill="1" applyBorder="1"/>
    <xf numFmtId="0" fontId="15" fillId="13" borderId="22" xfId="0" applyFont="1" applyFill="1" applyBorder="1"/>
    <xf numFmtId="0" fontId="13" fillId="14" borderId="23" xfId="0" applyFont="1" applyFill="1" applyBorder="1" applyAlignment="1">
      <alignment horizontal="center"/>
    </xf>
    <xf numFmtId="170" fontId="13" fillId="14" borderId="24" xfId="0" applyNumberFormat="1" applyFont="1" applyFill="1" applyBorder="1"/>
    <xf numFmtId="170" fontId="14" fillId="14" borderId="25" xfId="0" applyNumberFormat="1" applyFont="1" applyFill="1" applyBorder="1"/>
    <xf numFmtId="0" fontId="2" fillId="13" borderId="20" xfId="0" applyFont="1" applyFill="1" applyBorder="1"/>
    <xf numFmtId="0" fontId="2" fillId="13" borderId="22" xfId="0" applyFont="1" applyFill="1" applyBorder="1"/>
    <xf numFmtId="0" fontId="0" fillId="14" borderId="23" xfId="0" applyFill="1" applyBorder="1"/>
    <xf numFmtId="0" fontId="0" fillId="15" borderId="23" xfId="0" applyFill="1" applyBorder="1"/>
    <xf numFmtId="0" fontId="0" fillId="14" borderId="26" xfId="0" applyFill="1" applyBorder="1"/>
    <xf numFmtId="10" fontId="0" fillId="0" borderId="0" xfId="0" applyNumberFormat="1"/>
    <xf numFmtId="170" fontId="0" fillId="14" borderId="27" xfId="0" applyNumberFormat="1" applyFill="1" applyBorder="1"/>
    <xf numFmtId="0" fontId="13" fillId="15" borderId="23" xfId="0" applyFont="1" applyFill="1" applyBorder="1" applyAlignment="1">
      <alignment horizontal="center"/>
    </xf>
    <xf numFmtId="0" fontId="13" fillId="14" borderId="26" xfId="0" applyFont="1" applyFill="1" applyBorder="1" applyAlignment="1">
      <alignment horizontal="center"/>
    </xf>
    <xf numFmtId="170" fontId="0" fillId="0" borderId="0" xfId="0" applyNumberFormat="1"/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/>
    <xf numFmtId="10" fontId="11" fillId="0" borderId="0" xfId="0" applyNumberFormat="1" applyFont="1"/>
    <xf numFmtId="10" fontId="0" fillId="0" borderId="0" xfId="3" applyNumberFormat="1" applyFont="1"/>
    <xf numFmtId="44" fontId="0" fillId="4" borderId="4" xfId="7" applyFont="1" applyFill="1" applyBorder="1" applyProtection="1"/>
    <xf numFmtId="44" fontId="0" fillId="0" borderId="0" xfId="7" applyFont="1"/>
    <xf numFmtId="164" fontId="4" fillId="11" borderId="5" xfId="2" applyFont="1" applyFill="1" applyBorder="1" applyAlignment="1" applyProtection="1">
      <alignment horizontal="center" vertical="center" wrapText="1"/>
      <protection locked="0"/>
    </xf>
    <xf numFmtId="44" fontId="4" fillId="12" borderId="4" xfId="7" applyFont="1" applyFill="1" applyBorder="1" applyProtection="1"/>
    <xf numFmtId="166" fontId="11" fillId="0" borderId="0" xfId="1" applyNumberFormat="1" applyFont="1"/>
    <xf numFmtId="166" fontId="0" fillId="0" borderId="0" xfId="0" applyNumberFormat="1"/>
    <xf numFmtId="166" fontId="11" fillId="0" borderId="0" xfId="0" applyNumberFormat="1" applyFont="1"/>
    <xf numFmtId="166" fontId="4" fillId="0" borderId="0" xfId="0" applyNumberFormat="1" applyFont="1"/>
    <xf numFmtId="166" fontId="0" fillId="0" borderId="15" xfId="1" applyNumberFormat="1" applyFont="1" applyBorder="1"/>
    <xf numFmtId="166" fontId="0" fillId="0" borderId="28" xfId="1" applyNumberFormat="1" applyFont="1" applyBorder="1"/>
    <xf numFmtId="166" fontId="0" fillId="16" borderId="0" xfId="0" applyNumberFormat="1" applyFill="1"/>
    <xf numFmtId="166" fontId="4" fillId="0" borderId="0" xfId="1" applyNumberFormat="1" applyFont="1"/>
    <xf numFmtId="0" fontId="0" fillId="18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44" fontId="0" fillId="4" borderId="4" xfId="7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8" fontId="0" fillId="4" borderId="4" xfId="7" applyNumberFormat="1" applyFont="1" applyFill="1" applyBorder="1" applyAlignment="1">
      <alignment horizontal="center" vertical="center"/>
    </xf>
    <xf numFmtId="164" fontId="0" fillId="0" borderId="0" xfId="0" applyNumberFormat="1"/>
    <xf numFmtId="44" fontId="0" fillId="16" borderId="0" xfId="0" applyNumberFormat="1" applyFill="1"/>
    <xf numFmtId="0" fontId="0" fillId="16" borderId="0" xfId="0" applyFill="1"/>
    <xf numFmtId="44" fontId="4" fillId="16" borderId="0" xfId="0" applyNumberFormat="1" applyFont="1" applyFill="1"/>
    <xf numFmtId="0" fontId="4" fillId="16" borderId="0" xfId="0" applyFont="1" applyFill="1"/>
    <xf numFmtId="44" fontId="0" fillId="0" borderId="4" xfId="7" applyFont="1" applyBorder="1"/>
    <xf numFmtId="44" fontId="0" fillId="16" borderId="4" xfId="7" applyFont="1" applyFill="1" applyBorder="1"/>
    <xf numFmtId="165" fontId="0" fillId="16" borderId="0" xfId="1" applyFont="1" applyFill="1"/>
    <xf numFmtId="44" fontId="11" fillId="0" borderId="0" xfId="7" applyFont="1"/>
    <xf numFmtId="44" fontId="4" fillId="0" borderId="0" xfId="7" applyFont="1" applyAlignment="1">
      <alignment horizontal="center"/>
    </xf>
    <xf numFmtId="44" fontId="0" fillId="0" borderId="0" xfId="0" applyNumberFormat="1"/>
    <xf numFmtId="4" fontId="0" fillId="0" borderId="0" xfId="0" applyNumberFormat="1"/>
    <xf numFmtId="44" fontId="0" fillId="0" borderId="4" xfId="7" applyFont="1" applyBorder="1" applyAlignment="1">
      <alignment horizontal="center" vertical="center"/>
    </xf>
    <xf numFmtId="44" fontId="0" fillId="19" borderId="4" xfId="7" applyFont="1" applyFill="1" applyBorder="1" applyAlignment="1">
      <alignment horizontal="center" vertical="center"/>
    </xf>
    <xf numFmtId="44" fontId="4" fillId="4" borderId="4" xfId="7" applyFont="1" applyFill="1" applyBorder="1" applyAlignment="1">
      <alignment horizontal="center" vertical="center"/>
    </xf>
    <xf numFmtId="44" fontId="4" fillId="9" borderId="4" xfId="7" applyFont="1" applyFill="1" applyBorder="1" applyAlignment="1">
      <alignment horizontal="center" vertical="center"/>
    </xf>
    <xf numFmtId="44" fontId="4" fillId="20" borderId="4" xfId="7" applyFont="1" applyFill="1" applyBorder="1" applyAlignment="1">
      <alignment horizontal="center" vertical="center"/>
    </xf>
    <xf numFmtId="171" fontId="0" fillId="0" borderId="0" xfId="0" applyNumberFormat="1"/>
    <xf numFmtId="164" fontId="3" fillId="4" borderId="0" xfId="2" applyFont="1" applyFill="1" applyBorder="1" applyAlignment="1" applyProtection="1">
      <alignment horizontal="center" vertical="top" wrapText="1"/>
      <protection locked="0"/>
    </xf>
    <xf numFmtId="164" fontId="0" fillId="4" borderId="0" xfId="2" applyFont="1" applyFill="1" applyAlignment="1" applyProtection="1">
      <alignment horizontal="center"/>
      <protection locked="0"/>
    </xf>
    <xf numFmtId="10" fontId="0" fillId="16" borderId="0" xfId="3" applyNumberFormat="1" applyFont="1" applyFill="1" applyAlignment="1">
      <alignment horizontal="center" vertical="center"/>
    </xf>
    <xf numFmtId="10" fontId="14" fillId="16" borderId="0" xfId="3" applyNumberFormat="1" applyFont="1" applyFill="1" applyAlignment="1">
      <alignment horizontal="center" vertical="center"/>
    </xf>
    <xf numFmtId="172" fontId="0" fillId="0" borderId="0" xfId="0" applyNumberFormat="1"/>
    <xf numFmtId="44" fontId="3" fillId="4" borderId="4" xfId="7" applyFont="1" applyFill="1" applyBorder="1" applyProtection="1">
      <protection locked="0"/>
    </xf>
    <xf numFmtId="44" fontId="3" fillId="4" borderId="4" xfId="7" applyFont="1" applyFill="1" applyBorder="1" applyProtection="1"/>
    <xf numFmtId="44" fontId="8" fillId="0" borderId="4" xfId="7" applyFont="1" applyFill="1" applyBorder="1" applyProtection="1"/>
    <xf numFmtId="44" fontId="0" fillId="4" borderId="4" xfId="7" applyFont="1" applyFill="1" applyBorder="1" applyProtection="1">
      <protection locked="0"/>
    </xf>
    <xf numFmtId="43" fontId="0" fillId="0" borderId="0" xfId="0" applyNumberFormat="1"/>
    <xf numFmtId="0" fontId="1" fillId="0" borderId="4" xfId="4" applyFont="1" applyBorder="1"/>
    <xf numFmtId="44" fontId="1" fillId="0" borderId="4" xfId="7" applyFont="1" applyBorder="1"/>
    <xf numFmtId="44" fontId="0" fillId="0" borderId="0" xfId="7" applyFont="1" applyFill="1" applyBorder="1"/>
    <xf numFmtId="44" fontId="1" fillId="4" borderId="4" xfId="7" applyFont="1" applyFill="1" applyBorder="1" applyAlignment="1">
      <alignment horizontal="center" vertical="center"/>
    </xf>
    <xf numFmtId="8" fontId="1" fillId="4" borderId="4" xfId="7" applyNumberFormat="1" applyFont="1" applyFill="1" applyBorder="1" applyAlignment="1">
      <alignment horizontal="center" vertical="center"/>
    </xf>
    <xf numFmtId="44" fontId="4" fillId="21" borderId="4" xfId="7" applyFont="1" applyFill="1" applyBorder="1" applyAlignment="1">
      <alignment horizontal="center" vertical="center"/>
    </xf>
    <xf numFmtId="44" fontId="4" fillId="21" borderId="4" xfId="0" applyNumberFormat="1" applyFont="1" applyFill="1" applyBorder="1"/>
    <xf numFmtId="165" fontId="0" fillId="0" borderId="4" xfId="1" applyFont="1" applyBorder="1"/>
    <xf numFmtId="164" fontId="0" fillId="2" borderId="1" xfId="2" applyFont="1" applyFill="1" applyBorder="1" applyAlignment="1" applyProtection="1">
      <alignment horizontal="center"/>
      <protection locked="0"/>
    </xf>
    <xf numFmtId="164" fontId="0" fillId="2" borderId="2" xfId="2" applyFont="1" applyFill="1" applyBorder="1" applyAlignment="1" applyProtection="1">
      <alignment horizontal="center"/>
      <protection locked="0"/>
    </xf>
    <xf numFmtId="164" fontId="0" fillId="2" borderId="3" xfId="2" applyFont="1" applyFill="1" applyBorder="1" applyAlignment="1" applyProtection="1">
      <alignment horizontal="center"/>
      <protection locked="0"/>
    </xf>
    <xf numFmtId="164" fontId="0" fillId="2" borderId="5" xfId="2" applyFont="1" applyFill="1" applyBorder="1" applyAlignment="1" applyProtection="1">
      <alignment horizontal="center"/>
      <protection locked="0"/>
    </xf>
    <xf numFmtId="164" fontId="0" fillId="2" borderId="0" xfId="2" applyFont="1" applyFill="1" applyBorder="1" applyAlignment="1" applyProtection="1">
      <alignment horizontal="center"/>
      <protection locked="0"/>
    </xf>
    <xf numFmtId="164" fontId="0" fillId="2" borderId="6" xfId="2" applyFont="1" applyFill="1" applyBorder="1" applyAlignment="1" applyProtection="1">
      <alignment horizontal="center"/>
      <protection locked="0"/>
    </xf>
    <xf numFmtId="164" fontId="0" fillId="2" borderId="7" xfId="2" applyFont="1" applyFill="1" applyBorder="1" applyAlignment="1" applyProtection="1">
      <alignment horizontal="center"/>
      <protection locked="0"/>
    </xf>
    <xf numFmtId="164" fontId="0" fillId="2" borderId="8" xfId="2" applyFont="1" applyFill="1" applyBorder="1" applyAlignment="1" applyProtection="1">
      <alignment horizontal="center"/>
      <protection locked="0"/>
    </xf>
    <xf numFmtId="164" fontId="0" fillId="2" borderId="9" xfId="2" applyFont="1" applyFill="1" applyBorder="1" applyAlignment="1" applyProtection="1">
      <alignment horizontal="center"/>
      <protection locked="0"/>
    </xf>
    <xf numFmtId="164" fontId="5" fillId="3" borderId="4" xfId="2" applyFont="1" applyFill="1" applyBorder="1" applyAlignment="1" applyProtection="1">
      <alignment horizontal="center" vertical="center"/>
      <protection locked="0"/>
    </xf>
    <xf numFmtId="164" fontId="3" fillId="4" borderId="5" xfId="2" applyFont="1" applyFill="1" applyBorder="1" applyAlignment="1" applyProtection="1">
      <alignment horizontal="center" vertical="top" wrapText="1"/>
      <protection locked="0"/>
    </xf>
    <xf numFmtId="164" fontId="3" fillId="4" borderId="0" xfId="2" applyFont="1" applyFill="1" applyBorder="1" applyAlignment="1" applyProtection="1">
      <alignment horizontal="center" vertical="top" wrapText="1"/>
      <protection locked="0"/>
    </xf>
    <xf numFmtId="164" fontId="3" fillId="4" borderId="6" xfId="2" applyFont="1" applyFill="1" applyBorder="1" applyAlignment="1" applyProtection="1">
      <alignment horizontal="center" vertical="top" wrapText="1"/>
      <protection locked="0"/>
    </xf>
    <xf numFmtId="164" fontId="6" fillId="2" borderId="1" xfId="2" applyFont="1" applyFill="1" applyBorder="1" applyAlignment="1" applyProtection="1">
      <alignment horizontal="center" vertical="center"/>
      <protection locked="0"/>
    </xf>
    <xf numFmtId="164" fontId="6" fillId="2" borderId="2" xfId="2" applyFont="1" applyFill="1" applyBorder="1" applyAlignment="1" applyProtection="1">
      <alignment horizontal="center" vertical="center"/>
      <protection locked="0"/>
    </xf>
    <xf numFmtId="164" fontId="6" fillId="2" borderId="3" xfId="2" applyFont="1" applyFill="1" applyBorder="1" applyAlignment="1" applyProtection="1">
      <alignment horizontal="center" vertical="center"/>
      <protection locked="0"/>
    </xf>
    <xf numFmtId="164" fontId="7" fillId="4" borderId="4" xfId="2" applyFont="1" applyFill="1" applyBorder="1" applyAlignment="1" applyProtection="1">
      <alignment horizontal="left" vertical="center"/>
      <protection locked="0"/>
    </xf>
    <xf numFmtId="164" fontId="9" fillId="2" borderId="5" xfId="2" applyFont="1" applyFill="1" applyBorder="1" applyAlignment="1" applyProtection="1">
      <alignment horizontal="center" vertical="center"/>
      <protection locked="0"/>
    </xf>
    <xf numFmtId="164" fontId="9" fillId="2" borderId="0" xfId="2" applyFont="1" applyFill="1" applyBorder="1" applyAlignment="1" applyProtection="1">
      <alignment horizontal="center" vertical="center"/>
      <protection locked="0"/>
    </xf>
    <xf numFmtId="164" fontId="9" fillId="2" borderId="6" xfId="2" applyFont="1" applyFill="1" applyBorder="1" applyAlignment="1" applyProtection="1">
      <alignment horizontal="center" vertical="center"/>
      <protection locked="0"/>
    </xf>
    <xf numFmtId="164" fontId="10" fillId="5" borderId="5" xfId="2" applyFont="1" applyFill="1" applyBorder="1" applyAlignment="1" applyProtection="1">
      <alignment horizontal="center" vertical="center"/>
      <protection locked="0"/>
    </xf>
    <xf numFmtId="164" fontId="10" fillId="5" borderId="0" xfId="2" applyFont="1" applyFill="1" applyBorder="1" applyAlignment="1" applyProtection="1">
      <alignment horizontal="center" vertical="center"/>
      <protection locked="0"/>
    </xf>
    <xf numFmtId="164" fontId="10" fillId="5" borderId="6" xfId="2" applyFont="1" applyFill="1" applyBorder="1" applyAlignment="1" applyProtection="1">
      <alignment horizontal="center" vertical="center"/>
      <protection locked="0"/>
    </xf>
    <xf numFmtId="14" fontId="9" fillId="5" borderId="7" xfId="2" applyNumberFormat="1" applyFont="1" applyFill="1" applyBorder="1" applyAlignment="1" applyProtection="1">
      <alignment horizontal="center" vertical="center"/>
      <protection locked="0"/>
    </xf>
    <xf numFmtId="14" fontId="9" fillId="5" borderId="8" xfId="2" applyNumberFormat="1" applyFont="1" applyFill="1" applyBorder="1" applyAlignment="1" applyProtection="1">
      <alignment horizontal="center" vertical="center"/>
      <protection locked="0"/>
    </xf>
    <xf numFmtId="164" fontId="9" fillId="5" borderId="8" xfId="2" applyFont="1" applyFill="1" applyBorder="1" applyAlignment="1" applyProtection="1">
      <alignment horizontal="center" vertical="center"/>
      <protection locked="0"/>
    </xf>
    <xf numFmtId="164" fontId="9" fillId="5" borderId="9" xfId="2" applyFont="1" applyFill="1" applyBorder="1" applyAlignment="1" applyProtection="1">
      <alignment horizontal="center" vertical="center"/>
      <protection locked="0"/>
    </xf>
    <xf numFmtId="164" fontId="2" fillId="3" borderId="4" xfId="2" applyFont="1" applyFill="1" applyBorder="1" applyAlignment="1" applyProtection="1">
      <alignment horizontal="center" vertical="center" wrapText="1"/>
      <protection locked="0"/>
    </xf>
    <xf numFmtId="164" fontId="2" fillId="3" borderId="10" xfId="2" applyFont="1" applyFill="1" applyBorder="1" applyAlignment="1" applyProtection="1">
      <alignment horizontal="center" vertical="center" wrapText="1"/>
      <protection locked="0"/>
    </xf>
    <xf numFmtId="164" fontId="2" fillId="3" borderId="11" xfId="2" applyFont="1" applyFill="1" applyBorder="1" applyAlignment="1" applyProtection="1">
      <alignment horizontal="center" vertical="center" wrapText="1"/>
      <protection locked="0"/>
    </xf>
    <xf numFmtId="164" fontId="4" fillId="7" borderId="4" xfId="2" applyFont="1" applyFill="1" applyBorder="1" applyAlignment="1" applyProtection="1">
      <alignment horizontal="center"/>
      <protection locked="0"/>
    </xf>
    <xf numFmtId="164" fontId="4" fillId="8" borderId="12" xfId="2" applyFont="1" applyFill="1" applyBorder="1" applyAlignment="1" applyProtection="1">
      <alignment horizontal="center"/>
      <protection locked="0"/>
    </xf>
    <xf numFmtId="164" fontId="4" fillId="8" borderId="13" xfId="2" applyFont="1" applyFill="1" applyBorder="1" applyAlignment="1" applyProtection="1">
      <alignment horizontal="center"/>
      <protection locked="0"/>
    </xf>
    <xf numFmtId="164" fontId="4" fillId="8" borderId="14" xfId="2" applyFont="1" applyFill="1" applyBorder="1" applyAlignment="1" applyProtection="1">
      <alignment horizontal="center"/>
      <protection locked="0"/>
    </xf>
    <xf numFmtId="164" fontId="4" fillId="9" borderId="4" xfId="2" applyFont="1" applyFill="1" applyBorder="1" applyAlignment="1" applyProtection="1">
      <alignment horizontal="center" vertical="center" wrapText="1"/>
      <protection locked="0"/>
    </xf>
    <xf numFmtId="164" fontId="4" fillId="9" borderId="4" xfId="2" applyFont="1" applyFill="1" applyBorder="1" applyAlignment="1" applyProtection="1">
      <alignment horizontal="center" vertical="center"/>
      <protection locked="0"/>
    </xf>
    <xf numFmtId="164" fontId="4" fillId="12" borderId="12" xfId="2" applyFont="1" applyFill="1" applyBorder="1" applyAlignment="1" applyProtection="1">
      <alignment horizontal="center"/>
      <protection locked="0"/>
    </xf>
    <xf numFmtId="164" fontId="4" fillId="12" borderId="13" xfId="2" applyFont="1" applyFill="1" applyBorder="1" applyAlignment="1" applyProtection="1">
      <alignment horizontal="center"/>
      <protection locked="0"/>
    </xf>
    <xf numFmtId="164" fontId="4" fillId="12" borderId="14" xfId="2" applyFont="1" applyFill="1" applyBorder="1" applyAlignment="1" applyProtection="1">
      <alignment horizontal="center"/>
      <protection locked="0"/>
    </xf>
    <xf numFmtId="164" fontId="0" fillId="4" borderId="8" xfId="2" applyFont="1" applyFill="1" applyBorder="1" applyAlignment="1" applyProtection="1">
      <alignment horizontal="center"/>
      <protection locked="0"/>
    </xf>
    <xf numFmtId="164" fontId="0" fillId="4" borderId="0" xfId="2" applyFont="1" applyFill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1" fillId="0" borderId="4" xfId="4" applyFont="1" applyBorder="1" applyAlignment="1">
      <alignment horizontal="center"/>
    </xf>
    <xf numFmtId="0" fontId="0" fillId="18" borderId="10" xfId="0" applyFill="1" applyBorder="1" applyAlignment="1">
      <alignment horizontal="center" vertical="center"/>
    </xf>
    <xf numFmtId="0" fontId="0" fillId="18" borderId="11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1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44" fontId="0" fillId="5" borderId="4" xfId="7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center" vertical="center"/>
    </xf>
    <xf numFmtId="44" fontId="4" fillId="22" borderId="4" xfId="7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44" fontId="17" fillId="4" borderId="4" xfId="7" applyFont="1" applyFill="1" applyBorder="1" applyAlignment="1">
      <alignment horizontal="center" vertical="center"/>
    </xf>
  </cellXfs>
  <cellStyles count="8">
    <cellStyle name="Millares" xfId="1" builtinId="3"/>
    <cellStyle name="Millares [0]" xfId="2" builtinId="6"/>
    <cellStyle name="Millares 2" xfId="6" xr:uid="{1764725B-E569-44A8-B327-C7E5608EBDEB}"/>
    <cellStyle name="Moneda" xfId="7" builtinId="4"/>
    <cellStyle name="Moneda 2" xfId="5" xr:uid="{2F9E2B20-B0BA-4FF6-B6D3-8AC3C1D12B3E}"/>
    <cellStyle name="Normal" xfId="0" builtinId="0"/>
    <cellStyle name="Normal 2" xfId="4" xr:uid="{8F637F99-96CF-4645-A431-02BEB49134E3}"/>
    <cellStyle name="Porcentaje" xfId="3" builtinId="5"/>
  </cellStyles>
  <dxfs count="109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numFmt numFmtId="165" formatCode="_ * #,##0.00_ ;_ * \-#,##0.00_ ;_ * &quot;-&quot;??_ ;_ @_ "/>
    </dxf>
    <dxf>
      <alignment horizontal="center" vertical="bottom" textRotation="0" wrapText="0" indent="0" justifyLastLine="0" shrinkToFit="0" readingOrder="0"/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numFmt numFmtId="166" formatCode="_ * #,##0_ ;_ * \-#,##0_ ;_ * &quot;-&quot;??_ ;_ @_ 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5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5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5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numFmt numFmtId="170" formatCode="_-[$$-240A]\ * #,##0.00_-;\-[$$-240A]\ * #,##0.00_-;_-[$$-240A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B671A4-A7C0-4C32-B382-9E850C2F5F98}" name="Tabla1" displayName="Tabla1" ref="A2:G9" totalsRowCount="1" headerRowDxfId="108">
  <autoFilter ref="A2:G8" xr:uid="{F5B671A4-A7C0-4C32-B382-9E850C2F5F98}"/>
  <tableColumns count="7">
    <tableColumn id="1" xr3:uid="{49AACA10-4125-4954-BAFE-8E8EEEAF422A}" name="COD"/>
    <tableColumn id="2" xr3:uid="{111A4635-22C2-4347-9A63-9E2C0A2CA419}" name="Elemento "/>
    <tableColumn id="3" xr3:uid="{5BD3A7F2-76B1-4A66-9E79-A4C508D37338}" name="Cantidad / Unidades (kg)"/>
    <tableColumn id="4" xr3:uid="{A9FA603C-7555-4344-A9FA-CC1ED4226262}" name="Cantidad (mes) Kg"/>
    <tableColumn id="5" xr3:uid="{575740B0-2269-4444-9B2B-9F51B70E4658}" name="Precio / Kg vivo"/>
    <tableColumn id="6" xr3:uid="{7B296E07-2136-47D7-8AE7-22277F9D1EA6}" name="Costos mensuales" totalsRowFunction="custom" totalsRowDxfId="107" totalsRowCellStyle="Moneda">
      <totalsRowFormula>+F7*12</totalsRowFormula>
    </tableColumn>
    <tableColumn id="7" xr3:uid="{4B48C779-FA50-42A9-9AA7-FEB5864A0579}" name="Columna1" totalsRowLabel="anual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B28DC57-7364-4389-BF77-A119AA065838}" name="Tabla11" displayName="Tabla11" ref="H8:I13" totalsRowShown="0" headerRowDxfId="84" headerRowBorderDxfId="83">
  <autoFilter ref="H8:I13" xr:uid="{EB28DC57-7364-4389-BF77-A119AA065838}"/>
  <tableColumns count="2">
    <tableColumn id="1" xr3:uid="{B82E4477-29FC-4D28-82B9-F0B20DE0C31B}" name="CONCEPTO" dataDxfId="82"/>
    <tableColumn id="2" xr3:uid="{8D41AA90-2313-475E-8C39-9AAE863F7165}" name="RUBRO 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63113A6-BE60-45C8-A360-157E88F4B505}" name="Tabla12" displayName="Tabla12" ref="A8:F33" totalsRowShown="0" headerRowDxfId="81" headerRowBorderDxfId="80">
  <autoFilter ref="A8:F33" xr:uid="{B63113A6-BE60-45C8-A360-157E88F4B505}"/>
  <tableColumns count="6">
    <tableColumn id="1" xr3:uid="{F9156D53-C113-4253-89A9-FD42C2C901EE}" name="Periodo" dataDxfId="79"/>
    <tableColumn id="2" xr3:uid="{CF5D84DC-3071-451B-B9A6-CAC6184BA854}" name="Saldo inicial" dataDxfId="78">
      <calculatedColumnFormula>F8</calculatedColumnFormula>
    </tableColumn>
    <tableColumn id="3" xr3:uid="{CF67449C-A5C9-472F-A2F1-E17AB1B3EB7C}" name="Cuota" dataDxfId="77">
      <calculatedColumnFormula>$I$13</calculatedColumnFormula>
    </tableColumn>
    <tableColumn id="6" xr3:uid="{2279F1E1-544C-4E25-9123-7E935AD64146}" name="Amortiza" dataDxfId="76">
      <calculatedColumnFormula>+Tabla12[[#This Row],[Cuota]]-Tabla12[[#This Row],[Interes]]</calculatedColumnFormula>
    </tableColumn>
    <tableColumn id="4" xr3:uid="{D5C159CA-15C5-4652-9A41-A3E5DFBC47C1}" name="Interes" dataDxfId="75">
      <calculatedColumnFormula>+F8*$I$11</calculatedColumnFormula>
    </tableColumn>
    <tableColumn id="5" xr3:uid="{8820F17A-F8D7-4F3D-B165-5DE8BB9D5C00}" name="Saldo final" dataDxfId="74">
      <calculatedColumnFormula>B9-C9</calculatedColumnFormula>
    </tableColumn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55DE7B1-F2C9-4F89-856C-C44A92963CC6}" name="Tabla10" displayName="Tabla10" ref="A1:C5" totalsRowShown="0" headerRowDxfId="73">
  <autoFilter ref="A1:C5" xr:uid="{C55DE7B1-F2C9-4F89-856C-C44A92963CC6}"/>
  <tableColumns count="3">
    <tableColumn id="1" xr3:uid="{89898977-0BB3-4DB9-AE4C-AEBA23EF0368}" name="Elemento "/>
    <tableColumn id="2" xr3:uid="{0D0BBE1A-2E27-4D40-B3F0-F3BCC11C4B3F}" name="Monto " dataDxfId="72" dataCellStyle="Millares"/>
    <tableColumn id="3" xr3:uid="{4C40E9CB-C291-4C75-AE15-C6E02C270B77}" name="Equity " dataDxfId="71">
      <calculatedColumnFormula>+I9</calculatedColumnFormula>
    </tableColumn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F05A499-D628-442D-9611-DA029BC4356B}" name="Tabla1118" displayName="Tabla1118" ref="H3:I8" totalsRowShown="0" headerRowDxfId="70" headerRowBorderDxfId="69">
  <autoFilter ref="H3:I8" xr:uid="{EB28DC57-7364-4389-BF77-A119AA065838}"/>
  <tableColumns count="2">
    <tableColumn id="1" xr3:uid="{F5E4A31E-A48D-4067-9D00-C09F448E63A1}" name="CONCEPTO" dataDxfId="68"/>
    <tableColumn id="2" xr3:uid="{9AF3079E-9A8E-4A3E-87BE-31AC5C69D6D0}" name="RUBRO 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D409375-024D-4E9B-A047-B9B1433FC017}" name="Tabla1220" displayName="Tabla1220" ref="A3:F28" totalsRowShown="0" headerRowDxfId="67" headerRowBorderDxfId="66">
  <autoFilter ref="A3:F28" xr:uid="{B63113A6-BE60-45C8-A360-157E88F4B505}"/>
  <tableColumns count="6">
    <tableColumn id="1" xr3:uid="{2F47718B-125F-4A3C-A7B5-89D2C8D42B97}" name="Periodo" dataDxfId="65"/>
    <tableColumn id="2" xr3:uid="{E952977D-C004-40EE-A2C3-71FAACBB35B4}" name="Saldo inicial" dataDxfId="64">
      <calculatedColumnFormula>F3</calculatedColumnFormula>
    </tableColumn>
    <tableColumn id="3" xr3:uid="{EE1D7FBF-6332-45C0-ADEE-8EF15DEAF518}" name="Cuota" dataDxfId="63">
      <calculatedColumnFormula>$I$8</calculatedColumnFormula>
    </tableColumn>
    <tableColumn id="6" xr3:uid="{66DD08A4-5DF7-4D24-B816-CF1D283C9AEA}" name="Amortiza" dataDxfId="62">
      <calculatedColumnFormula>+Tabla1220[[#This Row],[Cuota]]-Tabla1220[[#This Row],[Interes]]</calculatedColumnFormula>
    </tableColumn>
    <tableColumn id="4" xr3:uid="{D4B8A775-CCBC-4398-8E5B-19D487C8F86E}" name="Interes" dataDxfId="61">
      <calculatedColumnFormula>+F3*$I$6</calculatedColumnFormula>
    </tableColumn>
    <tableColumn id="5" xr3:uid="{2B65A719-D18E-45FD-B2FA-573DF17BAC1F}" name="Saldo final" dataDxfId="60">
      <calculatedColumnFormula>B4-C4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5684B2-A6B1-4A51-8305-9673E49D4A93}" name="Tabla111823" displayName="Tabla111823" ref="H3:I8" totalsRowShown="0" headerRowDxfId="59" headerRowBorderDxfId="58">
  <autoFilter ref="H3:I8" xr:uid="{EB28DC57-7364-4389-BF77-A119AA065838}"/>
  <tableColumns count="2">
    <tableColumn id="1" xr3:uid="{9F61C98E-042E-4A26-90B8-BF59799AF41F}" name="CONCEPTO" dataDxfId="57"/>
    <tableColumn id="2" xr3:uid="{0072CBC6-9421-4E63-962B-5B7F4F121089}" name="RUBRO 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FB99C2A-AFD8-41B5-9835-914DFB8B348C}" name="Tabla122024" displayName="Tabla122024" ref="A3:F28" totalsRowShown="0" headerRowDxfId="56" headerRowBorderDxfId="55">
  <autoFilter ref="A3:F28" xr:uid="{B63113A6-BE60-45C8-A360-157E88F4B505}"/>
  <tableColumns count="6">
    <tableColumn id="1" xr3:uid="{E7E274D5-46FF-45F0-8A6F-84CB5398F1D1}" name="Periodo" dataDxfId="54"/>
    <tableColumn id="2" xr3:uid="{3D75FCD1-E7CB-437E-A230-E33BC4C3C860}" name="Saldo inicial" dataDxfId="53">
      <calculatedColumnFormula>F3</calculatedColumnFormula>
    </tableColumn>
    <tableColumn id="3" xr3:uid="{F31695F7-BC1D-4957-BA8D-7E1C78C4DE34}" name="Cuota" dataDxfId="52">
      <calculatedColumnFormula>$I$8</calculatedColumnFormula>
    </tableColumn>
    <tableColumn id="6" xr3:uid="{E9BA1108-B4DB-4103-ABE1-13AC0639E381}" name="Amortiza" dataDxfId="51">
      <calculatedColumnFormula>+Tabla122024[[#This Row],[Cuota]]-Tabla122024[[#This Row],[Interes]]</calculatedColumnFormula>
    </tableColumn>
    <tableColumn id="4" xr3:uid="{8EE6AD7C-29A0-4A86-A6FA-E7ED923B1D09}" name="Interes" dataDxfId="50">
      <calculatedColumnFormula>+F3*$I$6</calculatedColumnFormula>
    </tableColumn>
    <tableColumn id="5" xr3:uid="{BBB260A9-B002-4A2A-935D-B5A5132934A3}" name="Saldo final" dataDxfId="49">
      <calculatedColumnFormula>B4-C4</calculatedColumnFormula>
    </tableColumn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BD09CE5-0CB9-45E1-A55E-2E043D9A0087}" name="Tabla11182325" displayName="Tabla11182325" ref="H3:I8" totalsRowShown="0" headerRowDxfId="48" headerRowBorderDxfId="47">
  <autoFilter ref="H3:I8" xr:uid="{EB28DC57-7364-4389-BF77-A119AA065838}"/>
  <tableColumns count="2">
    <tableColumn id="1" xr3:uid="{7686AF0E-B3A4-42C6-BEC9-5B8193208354}" name="CONCEPTO" dataDxfId="46"/>
    <tableColumn id="2" xr3:uid="{F218452E-4340-4961-B7B6-788D192BE797}" name="RUBRO 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D2CF806-142C-4366-97EC-66FAEE354560}" name="Tabla12202426" displayName="Tabla12202426" ref="A3:F16" totalsRowShown="0" headerRowDxfId="45" headerRowBorderDxfId="44">
  <autoFilter ref="A3:F16" xr:uid="{B63113A6-BE60-45C8-A360-157E88F4B505}"/>
  <tableColumns count="6">
    <tableColumn id="1" xr3:uid="{4C58AD82-08C1-4CFB-8AEC-7F448CD7D550}" name="Periodo" dataDxfId="43"/>
    <tableColumn id="2" xr3:uid="{95C85814-07F2-49AE-B51B-61F41839FA7C}" name="Saldo inicial" dataDxfId="42">
      <calculatedColumnFormula>F3</calculatedColumnFormula>
    </tableColumn>
    <tableColumn id="3" xr3:uid="{3DD4451B-6443-4FC0-81F6-F4031652B895}" name="Cuota" dataDxfId="41">
      <calculatedColumnFormula>$I$8</calculatedColumnFormula>
    </tableColumn>
    <tableColumn id="6" xr3:uid="{76505B06-AF9D-4425-AAFA-EA1DB18CE342}" name="Amortiza" dataDxfId="40">
      <calculatedColumnFormula>+Tabla12202426[[#This Row],[Cuota]]-Tabla12202426[[#This Row],[Interes]]</calculatedColumnFormula>
    </tableColumn>
    <tableColumn id="4" xr3:uid="{0B4AB8CA-BB7A-4E38-BF2F-192E1ECD8105}" name="Interes" dataDxfId="39">
      <calculatedColumnFormula>+F3*$I$6</calculatedColumnFormula>
    </tableColumn>
    <tableColumn id="5" xr3:uid="{A1FFF9DC-AD5A-4804-871D-81334358A80F}" name="Saldo final" dataDxfId="38">
      <calculatedColumnFormula>B4-C4</calculatedColumnFormula>
    </tableColumn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8D48599-9913-4553-977C-84B976341652}" name="Tabla13" displayName="Tabla13" ref="A1:D20" totalsRowCount="1" headerRowDxfId="37" dataDxfId="36" dataCellStyle="Millares">
  <autoFilter ref="A1:D19" xr:uid="{48D48599-9913-4553-977C-84B976341652}"/>
  <tableColumns count="4">
    <tableColumn id="1" xr3:uid="{8D50F3F1-0110-4CCB-BFEE-C49C5BCF617C}" name="Elemento "/>
    <tableColumn id="2" xr3:uid="{32CF4EC6-24A0-4B49-9D36-493E25781B28}" name="Precio unitario" dataDxfId="35" totalsRowDxfId="34" dataCellStyle="Millares"/>
    <tableColumn id="3" xr3:uid="{86AE8341-FCEA-43ED-8D5E-961E9CA90E73}" name="Unidades a vender (Kg)" totalsRowLabel=" TOTAL " dataDxfId="33" totalsRowDxfId="32" dataCellStyle="Millares"/>
    <tableColumn id="4" xr3:uid="{E28BE662-794C-412E-B172-1B8D749EBB05}" name="Precio total" totalsRowFunction="custom" dataDxfId="31" totalsRowDxfId="30" dataCellStyle="Millares">
      <calculatedColumnFormula>C2*B2</calculatedColumnFormula>
      <totalsRowFormula>SUM(Tabla13[Precio total])</totalsRow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5E2905-D2ED-499C-B06F-2E66D6D7830B}" name="Tabla2" displayName="Tabla2" ref="A1:D10" totalsRowShown="0" headerRowDxfId="106">
  <autoFilter ref="A1:D10" xr:uid="{3A5E2905-D2ED-499C-B06F-2E66D6D7830B}"/>
  <tableColumns count="4">
    <tableColumn id="1" xr3:uid="{CBD48C3E-47AD-4219-B950-DCECD8E08070}" name="Columna1"/>
    <tableColumn id="2" xr3:uid="{4A4560E8-7E05-40CE-B4B4-0CE440D6A5B5}" name="Columna2"/>
    <tableColumn id="3" xr3:uid="{23E69E93-8506-4C37-BDB2-6F2177C48DD0}" name="Columna3"/>
    <tableColumn id="4" xr3:uid="{76AE7CFB-4E19-4711-9857-AC66E7F44B49}" name="Columna4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7BA5F8A-4C26-409E-A0F6-76AD09FFBEAD}" name="Tabla14" displayName="Tabla14" ref="A2:H15" totalsRowShown="0" dataDxfId="29" dataCellStyle="Millares">
  <autoFilter ref="A2:H15" xr:uid="{07BA5F8A-4C26-409E-A0F6-76AD09FFBEAD}"/>
  <tableColumns count="8">
    <tableColumn id="1" xr3:uid="{FC59B671-EC85-4FAB-9B77-22A2A8B2D3EF}" name="Ítem"/>
    <tableColumn id="2" xr3:uid="{69EFBFE5-68E4-409C-B156-4B1B602D1776}" name="AÑO 0" dataDxfId="28" dataCellStyle="Millares"/>
    <tableColumn id="3" xr3:uid="{0F9330FD-F31A-4660-B975-7CBE75A6D4E1}" name="AÑO 1" dataDxfId="27" dataCellStyle="Millares"/>
    <tableColumn id="4" xr3:uid="{CB93121A-67F4-44B4-9E17-615CDF8CFE93}" name="AÑO 2" dataDxfId="26" dataCellStyle="Millares"/>
    <tableColumn id="5" xr3:uid="{0FF777FE-77C4-4808-9566-CB337A76E090}" name="AÑO 3" dataDxfId="25" dataCellStyle="Millares"/>
    <tableColumn id="6" xr3:uid="{35ECC54E-032A-49D0-A22C-B4FAE4443856}" name="AÑO 4" dataDxfId="24" dataCellStyle="Millares"/>
    <tableColumn id="7" xr3:uid="{CC969892-CF8E-4C2F-B0A0-B74E2181040F}" name="AÑO 5" dataDxfId="23" dataCellStyle="Millares"/>
    <tableColumn id="8" xr3:uid="{E7417720-1DA3-4259-899B-09FF1DCC9775}" name="AÑO 6" dataDxfId="22" dataCellStyle="Millares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42B3ADB-881A-428F-B6DD-154D1F940AFC}" name="Tabla15" displayName="Tabla15" ref="B1:H13" totalsRowShown="0" headerRowDxfId="21" dataDxfId="20" dataCellStyle="Millares">
  <autoFilter ref="B1:H13" xr:uid="{742B3ADB-881A-428F-B6DD-154D1F940AFC}"/>
  <tableColumns count="7">
    <tableColumn id="1" xr3:uid="{B1CD1ACD-4AF4-481F-AE0C-3C28F148E14A}" name="Columna1" dataDxfId="19"/>
    <tableColumn id="2" xr3:uid="{D41CE5EB-BA62-4B72-AD6A-714ABB11586E}" name="Columna2" dataDxfId="18" dataCellStyle="Millares"/>
    <tableColumn id="3" xr3:uid="{A80B3F88-A70B-4F0B-8042-D207592C90B1}" name="Columna3" dataDxfId="17" dataCellStyle="Millares"/>
    <tableColumn id="4" xr3:uid="{6E344B99-C218-4CA8-9755-15C43341CEA2}" name="Columna4" dataDxfId="16" dataCellStyle="Millares"/>
    <tableColumn id="5" xr3:uid="{FA2222CF-66F9-40E3-9251-21FC31E9491F}" name="Columna5" dataDxfId="15" dataCellStyle="Millares"/>
    <tableColumn id="6" xr3:uid="{FF717B66-F2C4-4034-9A7B-67B0F477B6A7}" name="Columna6" dataDxfId="14" dataCellStyle="Millares"/>
    <tableColumn id="7" xr3:uid="{99F6E3EA-A1E1-43AC-A9ED-DAC93A561CD0}" name="Columna7" dataDxfId="13" dataCellStyle="Millares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37ED0F4-4796-41A4-9DD8-A14EE57237EE}" name="Tabla16" displayName="Tabla16" ref="A1:H33" totalsRowCount="1" totalsRowDxfId="12">
  <autoFilter ref="A1:H32" xr:uid="{B37ED0F4-4796-41A4-9DD8-A14EE57237EE}"/>
  <tableColumns count="8">
    <tableColumn id="1" xr3:uid="{1F8E24BF-3F17-43E6-9E86-B97069657E4A}" name="Columna1" totalsRowLabel=" ACTIVO " totalsRowDxfId="11"/>
    <tableColumn id="2" xr3:uid="{62BB686E-EDAF-4DC7-ABC5-0DE74D759D19}" name=" -   " totalsRowFunction="custom" totalsRowDxfId="10">
      <totalsRowFormula>+B21</totalsRowFormula>
    </tableColumn>
    <tableColumn id="3" xr3:uid="{55242847-1F4C-4692-873E-36359F7B8707}" name="AÑO 1" totalsRowFunction="custom" totalsRowDxfId="9">
      <totalsRowFormula>+C21</totalsRowFormula>
    </tableColumn>
    <tableColumn id="4" xr3:uid="{49FC7CBA-F6FF-4A9E-9A19-5F48DA3ACA40}" name="AÑO 2" totalsRowFunction="custom" totalsRowDxfId="8">
      <totalsRowFormula>+D21</totalsRowFormula>
    </tableColumn>
    <tableColumn id="5" xr3:uid="{5B455710-1116-489D-BB5B-9B92ED251509}" name="AÑO 3" totalsRowFunction="custom" totalsRowDxfId="7">
      <totalsRowFormula>+E21</totalsRowFormula>
    </tableColumn>
    <tableColumn id="6" xr3:uid="{EEAC439F-E3C8-449D-A963-91C0186D51BE}" name="AÑO 4" totalsRowFunction="custom" totalsRowDxfId="6">
      <totalsRowFormula>+F21</totalsRowFormula>
    </tableColumn>
    <tableColumn id="7" xr3:uid="{020D9975-C6F2-42AC-A7C0-3AB230B3A8CB}" name="AÑO 5" totalsRowFunction="custom" totalsRowDxfId="5">
      <totalsRowFormula>+G21</totalsRowFormula>
    </tableColumn>
    <tableColumn id="8" xr3:uid="{DA74A133-AFEC-4170-A63F-D5293215A22A}" name="AÑO 6" totalsRowFunction="custom" totalsRowDxfId="4">
      <totalsRowFormula>+H21</totalsRowFormula>
    </tableColumn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200BAE8-011C-4CED-9AF9-55C0ADAA8724}" name="Tabla18" displayName="Tabla18" ref="A30:B36" totalsRowShown="0">
  <autoFilter ref="A30:B36" xr:uid="{A200BAE8-011C-4CED-9AF9-55C0ADAA8724}"/>
  <tableColumns count="2">
    <tableColumn id="1" xr3:uid="{5EC61602-4A9B-4A9C-A13A-F152BB41B40F}" name="TIR" dataDxfId="3"/>
    <tableColumn id="2" xr3:uid="{84F89AA6-C751-4AD0-9EEA-D39A8BB8BAEF}" name="-21,22%" dataDxfId="2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9935C2C-A6C9-4C8B-8089-43A125703579}" name="Tabla20" displayName="Tabla20" ref="A39:F44" totalsRowShown="0" headerRowDxfId="1">
  <autoFilter ref="A39:F44" xr:uid="{C9935C2C-A6C9-4C8B-8089-43A125703579}"/>
  <tableColumns count="6">
    <tableColumn id="1" xr3:uid="{886CFBE0-B0F0-4695-949A-B0A5AEB98000}" name="Columna1"/>
    <tableColumn id="2" xr3:uid="{2B915E8F-C058-445D-BAE4-7B674885E733}" name="Columna2"/>
    <tableColumn id="3" xr3:uid="{6382D9CE-5D43-45AA-8B9C-2A2065640C6F}" name="Columna3"/>
    <tableColumn id="4" xr3:uid="{C9E484E6-EE5F-40EA-936B-87B2487E849B}" name="Columna4"/>
    <tableColumn id="5" xr3:uid="{ABD47CB4-5379-41DF-AD08-6293B85FB392}" name="Columna5"/>
    <tableColumn id="6" xr3:uid="{165B0835-8AD6-47E3-9813-25C2DDB2A73B}" name="Columna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2DBF67-211E-46B3-ACF6-573EF49E6DFC}" name="Tabla6" displayName="Tabla6" ref="B20:G32" totalsRowShown="0" headerRowDxfId="105" dataDxfId="104" headerRowCellStyle="Normal 2" dataCellStyle="Millares">
  <autoFilter ref="B20:G32" xr:uid="{9A2DBF67-211E-46B3-ACF6-573EF49E6DFC}"/>
  <tableColumns count="6">
    <tableColumn id="1" xr3:uid="{DF11B4FC-FCC8-4301-BF46-23A9987E8E77}" name="Activo " dataDxfId="103" dataCellStyle="Normal 2"/>
    <tableColumn id="2" xr3:uid="{734DCC70-DBBD-458A-BFE3-F8FABE654A4B}" name="Costo " dataDxfId="102" dataCellStyle="Millares"/>
    <tableColumn id="3" xr3:uid="{ED9E7B6D-EFC8-4D7A-B017-C322DD03979D}" name="VR" dataDxfId="101" dataCellStyle="Millares"/>
    <tableColumn id="4" xr3:uid="{7D09C594-24B9-46F0-B4AA-F6C736FCBDD8}" name="VU" dataDxfId="100" dataCellStyle="Millares"/>
    <tableColumn id="5" xr3:uid="{53C258E4-6DFF-439C-B917-93A7F065C942}" name="Dep Anual" dataDxfId="99" dataCellStyle="Millares"/>
    <tableColumn id="6" xr3:uid="{4B37E7BF-77EB-41B6-8E22-94032796875C}" name="Dep Mensual " dataDxfId="98" dataCellStyle="Millar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9E6F18-C975-4ED9-9A84-97755634640E}" name="Tabla3" displayName="Tabla3" ref="A1:C9" totalsRowShown="0" headerRowDxfId="97">
  <autoFilter ref="A1:C9" xr:uid="{129E6F18-C975-4ED9-9A84-97755634640E}"/>
  <tableColumns count="3">
    <tableColumn id="1" xr3:uid="{7544590B-3847-4A7D-BC0D-0B537B5FC4EC}" name="Elemento"/>
    <tableColumn id="2" xr3:uid="{834BDDD9-7784-4634-AAC3-6CA9C4DEE4C3}" name="Costo total"/>
    <tableColumn id="3" xr3:uid="{C2E88493-FACD-48EF-AFB9-E1D7447EE768}" name="Promedio Mes" dataCellStyle="Moneda">
      <calculatedColumnFormula>+Tabla3[[#This Row],[Costo total]]/12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92B1EB-E985-4B64-8290-C3BAFD85FB6C}" name="Tabla4" displayName="Tabla4" ref="A1:B11" totalsRowShown="0" headerRowDxfId="96">
  <autoFilter ref="A1:B11" xr:uid="{2A92B1EB-E985-4B64-8290-C3BAFD85FB6C}"/>
  <tableColumns count="2">
    <tableColumn id="1" xr3:uid="{3FD1CEE7-B19C-4820-BE5C-7DEBC7A755A3}" name="Elemento"/>
    <tableColumn id="2" xr3:uid="{B4C52B76-10AA-4BDE-96E6-649E29E0225F}" name="Costo total" dataDxfId="95" dataCellStyle="Millares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45F2DD-A562-4F37-8E8F-DF4B42B49E35}" name="Tabla5" displayName="Tabla5" ref="A14:B17" totalsRowShown="0" headerRowDxfId="94">
  <autoFilter ref="A14:B17" xr:uid="{1945F2DD-A562-4F37-8E8F-DF4B42B49E35}"/>
  <tableColumns count="2">
    <tableColumn id="1" xr3:uid="{83F9EA2C-FE05-4A4C-A22B-EBD5A9B52BB4}" name="GASTOS Y COSTOS"/>
    <tableColumn id="2" xr3:uid="{ADEBCBD7-C985-4307-A488-06A43E8CB643}" name="Monto 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875F4C6-5AC8-40F6-8BDD-EBD66033DD7C}" name="Tabla7" displayName="Tabla7" ref="A1:D13" totalsRowShown="0" headerRowDxfId="93" dataDxfId="92" headerRowCellStyle="Millares" dataCellStyle="Millares">
  <autoFilter ref="A1:D13" xr:uid="{1875F4C6-5AC8-40F6-8BDD-EBD66033DD7C}"/>
  <tableColumns count="4">
    <tableColumn id="1" xr3:uid="{B1DBE8DC-B0FB-4321-922F-25DDE3C8CF03}" name="Elemento"/>
    <tableColumn id="2" xr3:uid="{B7B1D69A-475C-49A4-8A77-658D5B727CD2}" name="Cantidad" dataDxfId="91" dataCellStyle="Millares"/>
    <tableColumn id="3" xr3:uid="{3ECE64AF-2D92-4F8B-985E-3EE4F43D7D65}" name="P.U" dataDxfId="90" dataCellStyle="Millares"/>
    <tableColumn id="4" xr3:uid="{E2E832CB-0E88-4E8D-9AE5-47736A069497}" name="P.T" dataDxfId="89" dataCellStyle="Millare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5326920-A2E8-48F6-8441-07E502A617BF}" name="Tabla8" displayName="Tabla8" ref="A15:B19" totalsRowShown="0" headerRowDxfId="88">
  <autoFilter ref="A15:B19" xr:uid="{D5326920-A2E8-48F6-8441-07E502A617BF}"/>
  <tableColumns count="2">
    <tableColumn id="1" xr3:uid="{D6C7EF43-522F-4BDE-98AB-4019B2D91925}" name="Capital de trabajo "/>
    <tableColumn id="2" xr3:uid="{8C84B8D5-B39D-4153-90EB-D573F99E1430}" name="Monto " dataDxfId="87" dataCellStyle="Millares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57DCFD6-7EAB-472D-BE9B-75E67BED9900}" name="Tabla9" displayName="Tabla9" ref="A21:B34" totalsRowCount="1">
  <autoFilter ref="A21:B33" xr:uid="{457DCFD6-7EAB-472D-BE9B-75E67BED9900}"/>
  <tableColumns count="2">
    <tableColumn id="1" xr3:uid="{8C359E4B-BCF6-451A-B98E-92E1DF5DA88D}" name="Gastos de constitución "/>
    <tableColumn id="2" xr3:uid="{31FDF33C-E878-43D0-876D-1D14C3F1FB21}" name="Columna1" dataDxfId="86" totalsRowDxfId="85" dataCellStyle="Millares" totalsRowCellStyle="Millar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E512-F1BE-436A-A0BC-785B1235BB2C}">
  <sheetPr>
    <tabColor rgb="FF00B0F0"/>
  </sheetPr>
  <dimension ref="A1:X19"/>
  <sheetViews>
    <sheetView topLeftCell="B4" workbookViewId="0">
      <selection activeCell="C8" sqref="C8"/>
    </sheetView>
  </sheetViews>
  <sheetFormatPr baseColWidth="10" defaultRowHeight="15" x14ac:dyDescent="0.25"/>
  <cols>
    <col min="1" max="1" width="15" bestFit="1" customWidth="1"/>
    <col min="2" max="2" width="24.140625" bestFit="1" customWidth="1"/>
    <col min="3" max="3" width="21.140625" customWidth="1"/>
    <col min="5" max="5" width="14" bestFit="1" customWidth="1"/>
    <col min="6" max="6" width="14.5703125" bestFit="1" customWidth="1"/>
    <col min="7" max="7" width="12.5703125" bestFit="1" customWidth="1"/>
    <col min="8" max="8" width="12.7109375" customWidth="1"/>
    <col min="9" max="9" width="11.5703125" bestFit="1" customWidth="1"/>
    <col min="10" max="10" width="13" bestFit="1" customWidth="1"/>
    <col min="11" max="11" width="14.5703125" bestFit="1" customWidth="1"/>
    <col min="12" max="12" width="13" bestFit="1" customWidth="1"/>
    <col min="13" max="13" width="14.5703125" bestFit="1" customWidth="1"/>
    <col min="14" max="16" width="13" bestFit="1" customWidth="1"/>
    <col min="17" max="17" width="12" bestFit="1" customWidth="1"/>
    <col min="18" max="19" width="13" bestFit="1" customWidth="1"/>
    <col min="20" max="20" width="15.7109375" bestFit="1" customWidth="1"/>
    <col min="21" max="21" width="12" bestFit="1" customWidth="1"/>
    <col min="22" max="23" width="16.7109375" bestFit="1" customWidth="1"/>
  </cols>
  <sheetData>
    <row r="1" spans="1:24" ht="23.25" x14ac:dyDescent="0.25">
      <c r="C1" s="113"/>
      <c r="D1" s="114"/>
      <c r="E1" s="114"/>
      <c r="F1" s="114"/>
      <c r="G1" s="115"/>
      <c r="H1" s="122" t="s">
        <v>0</v>
      </c>
      <c r="I1" s="122"/>
      <c r="J1" s="122"/>
      <c r="K1" s="122"/>
      <c r="L1" s="123"/>
      <c r="M1" s="124"/>
      <c r="N1" s="124"/>
      <c r="O1" s="125"/>
      <c r="P1" s="95"/>
      <c r="Q1" s="95"/>
      <c r="R1" s="126" t="s">
        <v>1</v>
      </c>
      <c r="S1" s="127"/>
      <c r="T1" s="127"/>
      <c r="U1" s="128"/>
    </row>
    <row r="2" spans="1:24" ht="18.75" x14ac:dyDescent="0.25">
      <c r="C2" s="116"/>
      <c r="D2" s="117"/>
      <c r="E2" s="117"/>
      <c r="F2" s="117"/>
      <c r="G2" s="118"/>
      <c r="H2" s="129" t="s">
        <v>2</v>
      </c>
      <c r="I2" s="129"/>
      <c r="J2" s="129"/>
      <c r="K2" s="1">
        <f>1300000*1.095</f>
        <v>1423500</v>
      </c>
      <c r="L2" s="123"/>
      <c r="M2" s="124"/>
      <c r="N2" s="124"/>
      <c r="O2" s="125"/>
      <c r="P2" s="95"/>
      <c r="Q2" s="95"/>
      <c r="R2" s="130" t="s">
        <v>3</v>
      </c>
      <c r="S2" s="131"/>
      <c r="T2" s="131"/>
      <c r="U2" s="132"/>
    </row>
    <row r="3" spans="1:24" ht="21" x14ac:dyDescent="0.25">
      <c r="C3" s="116"/>
      <c r="D3" s="117"/>
      <c r="E3" s="117"/>
      <c r="F3" s="117"/>
      <c r="G3" s="118"/>
      <c r="H3" s="129" t="s">
        <v>4</v>
      </c>
      <c r="I3" s="129"/>
      <c r="J3" s="129"/>
      <c r="K3" s="1">
        <v>200000</v>
      </c>
      <c r="L3" s="123"/>
      <c r="M3" s="124"/>
      <c r="N3" s="124"/>
      <c r="O3" s="125"/>
      <c r="P3" s="95"/>
      <c r="Q3" s="95"/>
      <c r="R3" s="133" t="s">
        <v>5</v>
      </c>
      <c r="S3" s="134"/>
      <c r="T3" s="134"/>
      <c r="U3" s="135"/>
    </row>
    <row r="4" spans="1:24" ht="66.75" customHeight="1" x14ac:dyDescent="0.25">
      <c r="C4" s="119"/>
      <c r="D4" s="120"/>
      <c r="E4" s="120"/>
      <c r="F4" s="120"/>
      <c r="G4" s="121"/>
      <c r="H4" s="129" t="s">
        <v>6</v>
      </c>
      <c r="I4" s="129"/>
      <c r="J4" s="129"/>
      <c r="K4" s="2" t="s">
        <v>7</v>
      </c>
      <c r="L4" s="123"/>
      <c r="M4" s="124"/>
      <c r="N4" s="124"/>
      <c r="O4" s="125"/>
      <c r="P4" s="95"/>
      <c r="Q4" s="95"/>
      <c r="R4" s="136" t="s">
        <v>3</v>
      </c>
      <c r="S4" s="137"/>
      <c r="T4" s="138"/>
      <c r="U4" s="139"/>
    </row>
    <row r="5" spans="1:24" x14ac:dyDescent="0.25">
      <c r="C5" s="3"/>
      <c r="D5" s="152"/>
      <c r="E5" s="152"/>
      <c r="F5" s="152"/>
      <c r="G5" s="152"/>
      <c r="H5" s="152"/>
      <c r="I5" s="152"/>
      <c r="J5" s="152"/>
      <c r="K5" s="152"/>
      <c r="L5" s="153"/>
      <c r="M5" s="153"/>
      <c r="N5" s="153"/>
      <c r="O5" s="153"/>
      <c r="P5" s="153"/>
      <c r="Q5" s="153"/>
      <c r="R5" s="153"/>
      <c r="S5" s="96"/>
      <c r="T5" s="3"/>
      <c r="U5" s="3"/>
    </row>
    <row r="6" spans="1:24" x14ac:dyDescent="0.25">
      <c r="A6" s="140" t="s">
        <v>8</v>
      </c>
      <c r="B6" s="141" t="s">
        <v>9</v>
      </c>
      <c r="C6" s="140" t="s">
        <v>10</v>
      </c>
      <c r="D6" s="143" t="s">
        <v>11</v>
      </c>
      <c r="E6" s="143"/>
      <c r="F6" s="143"/>
      <c r="G6" s="143"/>
      <c r="H6" s="143"/>
      <c r="I6" s="143"/>
      <c r="J6" s="143"/>
      <c r="K6" s="143"/>
      <c r="L6" s="144" t="s">
        <v>278</v>
      </c>
      <c r="M6" s="145"/>
      <c r="N6" s="145"/>
      <c r="O6" s="145"/>
      <c r="P6" s="145"/>
      <c r="Q6" s="145"/>
      <c r="R6" s="145"/>
      <c r="S6" s="146"/>
      <c r="T6" s="147" t="s">
        <v>237</v>
      </c>
      <c r="U6" s="147" t="s">
        <v>12</v>
      </c>
    </row>
    <row r="7" spans="1:24" ht="45" x14ac:dyDescent="0.25">
      <c r="A7" s="140"/>
      <c r="B7" s="142"/>
      <c r="C7" s="140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19</v>
      </c>
      <c r="K7" s="4" t="s">
        <v>20</v>
      </c>
      <c r="L7" s="5" t="s">
        <v>21</v>
      </c>
      <c r="M7" s="5" t="s">
        <v>22</v>
      </c>
      <c r="N7" s="6" t="s">
        <v>275</v>
      </c>
      <c r="O7" s="6" t="s">
        <v>276</v>
      </c>
      <c r="P7" s="6" t="s">
        <v>285</v>
      </c>
      <c r="Q7" s="6" t="s">
        <v>284</v>
      </c>
      <c r="R7" s="6" t="s">
        <v>277</v>
      </c>
      <c r="S7" s="6" t="s">
        <v>279</v>
      </c>
      <c r="T7" s="147"/>
      <c r="U7" s="148"/>
      <c r="V7" s="62" t="s">
        <v>206</v>
      </c>
    </row>
    <row r="8" spans="1:24" x14ac:dyDescent="0.25">
      <c r="A8" s="7" t="s">
        <v>23</v>
      </c>
      <c r="B8" s="7" t="s">
        <v>24</v>
      </c>
      <c r="C8" s="8" t="s">
        <v>25</v>
      </c>
      <c r="D8" s="9">
        <f>+K2*3</f>
        <v>4270500</v>
      </c>
      <c r="E8" s="10">
        <v>30</v>
      </c>
      <c r="F8" s="60">
        <f>(D8/30)*E8</f>
        <v>4270500</v>
      </c>
      <c r="G8" s="100"/>
      <c r="H8" s="100"/>
      <c r="I8" s="101"/>
      <c r="J8" s="102"/>
      <c r="K8" s="60">
        <f>SUM(F8:J8)</f>
        <v>4270500</v>
      </c>
      <c r="L8" s="60">
        <f>(K8-J8)*0.085</f>
        <v>362992.5</v>
      </c>
      <c r="M8" s="60">
        <f>(K8-J8)*0.12</f>
        <v>512460</v>
      </c>
      <c r="N8" s="60">
        <f>+(K8-J8)*0.02436</f>
        <v>104029.38</v>
      </c>
      <c r="O8" s="103">
        <f>+(K8-J8)*0.0833</f>
        <v>355732.65</v>
      </c>
      <c r="P8" s="103">
        <f>+(K8-J8)*0.0833</f>
        <v>355732.65</v>
      </c>
      <c r="Q8" s="103">
        <f>+((P8*E8*12)*0.12)/360</f>
        <v>42687.917999999998</v>
      </c>
      <c r="R8" s="103">
        <f>+(K8-J8)*0.0417</f>
        <v>178079.85</v>
      </c>
      <c r="S8" s="103">
        <f>+(K8-J8)*(0.03+0.04+0.02)</f>
        <v>384345.00000000006</v>
      </c>
      <c r="T8" s="60">
        <f>+K8+L8+M8+N8+O8+R8+S8+P8+Q8</f>
        <v>6566559.9479999999</v>
      </c>
      <c r="U8" s="10"/>
      <c r="V8" s="61">
        <f>+T8*12</f>
        <v>78798719.376000002</v>
      </c>
      <c r="W8" s="80">
        <f>+V8+V10+V11</f>
        <v>124546959.168</v>
      </c>
      <c r="X8" s="81" t="s">
        <v>210</v>
      </c>
    </row>
    <row r="9" spans="1:24" x14ac:dyDescent="0.25">
      <c r="A9" s="7" t="s">
        <v>23</v>
      </c>
      <c r="B9" s="7" t="s">
        <v>44</v>
      </c>
      <c r="C9" s="8" t="s">
        <v>26</v>
      </c>
      <c r="D9" s="9">
        <f>+K2</f>
        <v>1423500</v>
      </c>
      <c r="E9" s="10">
        <v>30</v>
      </c>
      <c r="F9" s="60">
        <f t="shared" ref="F9:F10" si="0">(D9/30)*E9</f>
        <v>1423500</v>
      </c>
      <c r="G9" s="100"/>
      <c r="H9" s="100"/>
      <c r="I9" s="101"/>
      <c r="J9" s="102">
        <f>+K3</f>
        <v>200000</v>
      </c>
      <c r="K9" s="60">
        <f t="shared" ref="K9:K10" si="1">SUM(F9:J9)</f>
        <v>1623500</v>
      </c>
      <c r="L9" s="60">
        <f>(K9-J9)*0.085</f>
        <v>120997.50000000001</v>
      </c>
      <c r="M9" s="60">
        <f t="shared" ref="M9:M11" si="2">(K9-J9)*0.12</f>
        <v>170820</v>
      </c>
      <c r="N9" s="60">
        <f t="shared" ref="N9:N11" si="3">+(K9-J9)*0.02436</f>
        <v>34676.46</v>
      </c>
      <c r="O9" s="103">
        <f t="shared" ref="O9:O11" si="4">+(K9-J9)*0.0833</f>
        <v>118577.55</v>
      </c>
      <c r="P9" s="103">
        <f t="shared" ref="P9:P11" si="5">+(K9-J9)*0.0833</f>
        <v>118577.55</v>
      </c>
      <c r="Q9" s="103">
        <f t="shared" ref="Q9:Q11" si="6">+((P9*E9*12)*0.12)/360</f>
        <v>14229.306</v>
      </c>
      <c r="R9" s="103">
        <f>+(K9-J9)*0.0417</f>
        <v>59359.950000000004</v>
      </c>
      <c r="S9" s="103">
        <f t="shared" ref="S9:S11" si="7">+(K9-J9)*(0.03+0.04+0.02)</f>
        <v>128115.00000000001</v>
      </c>
      <c r="T9" s="60">
        <f t="shared" ref="T9:T11" si="8">+K9+L9+M9+N9+O9+R9+S9+P9+Q9</f>
        <v>2388853.3159999996</v>
      </c>
      <c r="U9" s="10"/>
      <c r="V9" s="61">
        <f t="shared" ref="V9:V10" si="9">+T9*12</f>
        <v>28666239.791999996</v>
      </c>
      <c r="W9" s="78">
        <f>+V9</f>
        <v>28666239.791999996</v>
      </c>
      <c r="X9" s="79" t="s">
        <v>211</v>
      </c>
    </row>
    <row r="10" spans="1:24" x14ac:dyDescent="0.25">
      <c r="A10" s="7" t="s">
        <v>23</v>
      </c>
      <c r="B10" s="7" t="s">
        <v>45</v>
      </c>
      <c r="C10" s="8" t="s">
        <v>27</v>
      </c>
      <c r="D10" s="9">
        <f>+K2</f>
        <v>1423500</v>
      </c>
      <c r="E10" s="10">
        <v>30</v>
      </c>
      <c r="F10" s="60">
        <f t="shared" si="0"/>
        <v>1423500</v>
      </c>
      <c r="G10" s="100"/>
      <c r="H10" s="100"/>
      <c r="I10" s="101"/>
      <c r="J10" s="102"/>
      <c r="K10" s="60">
        <f t="shared" si="1"/>
        <v>1423500</v>
      </c>
      <c r="L10" s="60"/>
      <c r="M10" s="60"/>
      <c r="N10" s="60"/>
      <c r="O10" s="103"/>
      <c r="P10" s="103"/>
      <c r="Q10" s="103"/>
      <c r="R10" s="103"/>
      <c r="S10" s="103"/>
      <c r="T10" s="60">
        <f t="shared" si="8"/>
        <v>1423500</v>
      </c>
      <c r="U10" s="10"/>
      <c r="V10" s="61">
        <f t="shared" si="9"/>
        <v>17082000</v>
      </c>
    </row>
    <row r="11" spans="1:24" x14ac:dyDescent="0.25">
      <c r="A11" s="7" t="s">
        <v>23</v>
      </c>
      <c r="B11" s="7" t="s">
        <v>208</v>
      </c>
      <c r="C11" s="8" t="s">
        <v>209</v>
      </c>
      <c r="D11" s="9">
        <f>+D10</f>
        <v>1423500</v>
      </c>
      <c r="E11" s="10">
        <v>30</v>
      </c>
      <c r="F11" s="60">
        <f t="shared" ref="F11" si="10">(D11/30)*E11</f>
        <v>1423500</v>
      </c>
      <c r="G11" s="100"/>
      <c r="H11" s="100"/>
      <c r="I11" s="101"/>
      <c r="J11" s="102">
        <f>+J9</f>
        <v>200000</v>
      </c>
      <c r="K11" s="60">
        <f t="shared" ref="K11" si="11">SUM(F11:J11)</f>
        <v>1623500</v>
      </c>
      <c r="L11" s="60">
        <f t="shared" ref="L11" si="12">(K11-J11)*0.085</f>
        <v>120997.50000000001</v>
      </c>
      <c r="M11" s="60">
        <f t="shared" si="2"/>
        <v>170820</v>
      </c>
      <c r="N11" s="60">
        <f t="shared" si="3"/>
        <v>34676.46</v>
      </c>
      <c r="O11" s="103">
        <f t="shared" si="4"/>
        <v>118577.55</v>
      </c>
      <c r="P11" s="103">
        <f t="shared" si="5"/>
        <v>118577.55</v>
      </c>
      <c r="Q11" s="103">
        <f t="shared" si="6"/>
        <v>14229.306</v>
      </c>
      <c r="R11" s="103">
        <f t="shared" ref="R11" si="13">+(K11-J11)*0.0417</f>
        <v>59359.950000000004</v>
      </c>
      <c r="S11" s="103">
        <f t="shared" si="7"/>
        <v>128115.00000000001</v>
      </c>
      <c r="T11" s="60">
        <f t="shared" si="8"/>
        <v>2388853.3159999996</v>
      </c>
      <c r="U11" s="10"/>
      <c r="V11" s="61">
        <f t="shared" ref="V11" si="14">+T11*12</f>
        <v>28666239.791999996</v>
      </c>
    </row>
    <row r="12" spans="1:24" x14ac:dyDescent="0.25">
      <c r="A12" s="7"/>
      <c r="B12" s="11"/>
      <c r="C12" s="149" t="s">
        <v>28</v>
      </c>
      <c r="D12" s="150"/>
      <c r="E12" s="151"/>
      <c r="F12" s="63">
        <f>SUM(F8:F11)</f>
        <v>8541000</v>
      </c>
      <c r="G12" s="63">
        <f t="shared" ref="G12:T12" si="15">SUM(G8:G11)</f>
        <v>0</v>
      </c>
      <c r="H12" s="63">
        <f t="shared" si="15"/>
        <v>0</v>
      </c>
      <c r="I12" s="63">
        <f t="shared" si="15"/>
        <v>0</v>
      </c>
      <c r="J12" s="63">
        <f t="shared" si="15"/>
        <v>400000</v>
      </c>
      <c r="K12" s="63">
        <f t="shared" si="15"/>
        <v>8941000</v>
      </c>
      <c r="L12" s="63">
        <f t="shared" si="15"/>
        <v>604987.5</v>
      </c>
      <c r="M12" s="63">
        <f t="shared" si="15"/>
        <v>854100</v>
      </c>
      <c r="N12" s="63">
        <f t="shared" si="15"/>
        <v>173382.3</v>
      </c>
      <c r="O12" s="63">
        <f t="shared" si="15"/>
        <v>592887.75</v>
      </c>
      <c r="P12" s="63">
        <f t="shared" si="15"/>
        <v>592887.75</v>
      </c>
      <c r="Q12" s="63">
        <f t="shared" si="15"/>
        <v>71146.53</v>
      </c>
      <c r="R12" s="63">
        <f t="shared" si="15"/>
        <v>296799.75</v>
      </c>
      <c r="S12" s="63">
        <f t="shared" si="15"/>
        <v>640575.00000000012</v>
      </c>
      <c r="T12" s="63">
        <f t="shared" si="15"/>
        <v>12767766.579999998</v>
      </c>
      <c r="U12" s="12"/>
      <c r="V12" s="63">
        <f>SUM(V8:V11)</f>
        <v>153213198.95999998</v>
      </c>
    </row>
    <row r="13" spans="1:24" x14ac:dyDescent="0.25">
      <c r="V13" s="107">
        <f>+V12/12</f>
        <v>12767766.579999998</v>
      </c>
    </row>
    <row r="14" spans="1:24" x14ac:dyDescent="0.25">
      <c r="L14" s="77"/>
      <c r="Q14" s="87"/>
    </row>
    <row r="19" spans="11:11" x14ac:dyDescent="0.25">
      <c r="K19" s="77"/>
    </row>
  </sheetData>
  <mergeCells count="20">
    <mergeCell ref="T6:T7"/>
    <mergeCell ref="U6:U7"/>
    <mergeCell ref="C12:E12"/>
    <mergeCell ref="D5:K5"/>
    <mergeCell ref="L5:R5"/>
    <mergeCell ref="A6:A7"/>
    <mergeCell ref="B6:B7"/>
    <mergeCell ref="C6:C7"/>
    <mergeCell ref="D6:K6"/>
    <mergeCell ref="L6:S6"/>
    <mergeCell ref="C1:G4"/>
    <mergeCell ref="H1:K1"/>
    <mergeCell ref="L1:O4"/>
    <mergeCell ref="R1:U1"/>
    <mergeCell ref="H2:J2"/>
    <mergeCell ref="R2:U2"/>
    <mergeCell ref="H3:J3"/>
    <mergeCell ref="R3:U3"/>
    <mergeCell ref="H4:J4"/>
    <mergeCell ref="R4:U4"/>
  </mergeCells>
  <dataValidations count="2">
    <dataValidation type="list" allowBlank="1" showInputMessage="1" showErrorMessage="1" sqref="K4" xr:uid="{559436CC-A93B-4B2E-8BC3-3B9529FEBA8A}">
      <formula1>"Si,No"</formula1>
    </dataValidation>
    <dataValidation type="list" allowBlank="1" showInputMessage="1" showErrorMessage="1" sqref="E8:E11" xr:uid="{642783FD-A55B-475C-9E04-B2B53D44D8A9}">
      <formula1>"0,1,2,3,4,5,6,7,8,9,10,11,12,13,14,15,16,17,18,19,20,21,22,23,24,25,26,27,28,29,30"</formula1>
    </dataValidation>
  </dataValidations>
  <pageMargins left="0.7" right="0.7" top="0.75" bottom="0.75" header="0.3" footer="0.3"/>
  <ignoredErrors>
    <ignoredError sqref="V11" evalError="1"/>
    <ignoredError sqref="R9 O8:O9 P8:P9 R8 S8:S9 Q9 R11 O11 P11 S11 Q1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7358-18CC-44DB-AA90-41BE97670ED1}">
  <sheetPr>
    <tabColor rgb="FFFFFF00"/>
  </sheetPr>
  <dimension ref="A2:K28"/>
  <sheetViews>
    <sheetView topLeftCell="B1" workbookViewId="0">
      <selection activeCell="J4" sqref="J4"/>
    </sheetView>
  </sheetViews>
  <sheetFormatPr baseColWidth="10" defaultRowHeight="15" x14ac:dyDescent="0.25"/>
  <cols>
    <col min="1" max="1" width="19.5703125" bestFit="1" customWidth="1"/>
    <col min="2" max="2" width="16.7109375" bestFit="1" customWidth="1"/>
    <col min="3" max="3" width="16.28515625" bestFit="1" customWidth="1"/>
    <col min="4" max="4" width="14.5703125" bestFit="1" customWidth="1"/>
    <col min="5" max="6" width="18.5703125" bestFit="1" customWidth="1"/>
    <col min="7" max="7" width="22.5703125" customWidth="1"/>
    <col min="8" max="11" width="15.5703125" bestFit="1" customWidth="1"/>
  </cols>
  <sheetData>
    <row r="2" spans="1:11" x14ac:dyDescent="0.25">
      <c r="A2" t="s">
        <v>236</v>
      </c>
    </row>
    <row r="3" spans="1:11" ht="16.5" thickBot="1" x14ac:dyDescent="0.3">
      <c r="A3" s="40" t="s">
        <v>120</v>
      </c>
      <c r="B3" s="41" t="s">
        <v>121</v>
      </c>
      <c r="C3" s="41" t="s">
        <v>234</v>
      </c>
      <c r="D3" s="41" t="s">
        <v>235</v>
      </c>
      <c r="E3" s="41" t="s">
        <v>122</v>
      </c>
      <c r="F3" s="42" t="s">
        <v>123</v>
      </c>
      <c r="H3" s="46" t="s">
        <v>124</v>
      </c>
      <c r="I3" s="47" t="s">
        <v>125</v>
      </c>
      <c r="J3" t="s">
        <v>288</v>
      </c>
    </row>
    <row r="4" spans="1:11" ht="16.5" thickTop="1" x14ac:dyDescent="0.25">
      <c r="A4" s="43">
        <v>0</v>
      </c>
      <c r="B4" s="44"/>
      <c r="C4" s="44"/>
      <c r="D4" s="44">
        <f>+Tabla122024[[#This Row],[Cuota]]-Tabla122024[[#This Row],[Interes]]</f>
        <v>0</v>
      </c>
      <c r="E4" s="44">
        <v>0</v>
      </c>
      <c r="F4" s="45">
        <f>+Tabla111823[[#This Row],[RUBRO ]]</f>
        <v>55000000</v>
      </c>
      <c r="H4" s="48" t="s">
        <v>126</v>
      </c>
      <c r="I4" s="23">
        <v>55000000</v>
      </c>
      <c r="J4" s="61">
        <f>+Tabla111823[[#This Row],[RUBRO ]]/2</f>
        <v>27500000</v>
      </c>
    </row>
    <row r="5" spans="1:11" ht="15.75" x14ac:dyDescent="0.25">
      <c r="A5" s="53">
        <v>1</v>
      </c>
      <c r="B5" s="55">
        <f>F4</f>
        <v>55000000</v>
      </c>
      <c r="C5" s="55">
        <f>$I$8</f>
        <v>2538635.7573739723</v>
      </c>
      <c r="D5" s="55">
        <f>+Tabla122024[[#This Row],[Cuota]]-Tabla122024[[#This Row],[Interes]]</f>
        <v>2079102.1947740358</v>
      </c>
      <c r="E5" s="55">
        <f t="shared" ref="E5:E28" si="0">+F4*$I$6</f>
        <v>459533.56259993638</v>
      </c>
      <c r="F5" s="55">
        <f>+Tabla122024[[#This Row],[Saldo inicial]]-Tabla122024[[#This Row],[Amortiza]]</f>
        <v>52920897.805225961</v>
      </c>
      <c r="H5" s="49" t="s">
        <v>127</v>
      </c>
      <c r="I5" s="51">
        <v>0.105</v>
      </c>
      <c r="J5" t="s">
        <v>229</v>
      </c>
    </row>
    <row r="6" spans="1:11" ht="15.75" x14ac:dyDescent="0.25">
      <c r="A6" s="43">
        <v>2</v>
      </c>
      <c r="B6" s="55">
        <f>F5</f>
        <v>52920897.805225961</v>
      </c>
      <c r="C6" s="55">
        <f t="shared" ref="C6:C28" si="1">$I$8</f>
        <v>2538635.7573739723</v>
      </c>
      <c r="D6" s="55">
        <f>+Tabla122024[[#This Row],[Cuota]]-Tabla122024[[#This Row],[Interes]]</f>
        <v>2096473.4172935607</v>
      </c>
      <c r="E6" s="55">
        <f t="shared" si="0"/>
        <v>442162.34008041164</v>
      </c>
      <c r="F6" s="55">
        <f>+Tabla122024[[#This Row],[Saldo inicial]]-Tabla122024[[#This Row],[Amortiza]]</f>
        <v>50824424.387932397</v>
      </c>
      <c r="H6" s="48" t="s">
        <v>231</v>
      </c>
      <c r="I6" s="51">
        <f>(NOMINAL(I5,12))/12</f>
        <v>8.355155683635207E-3</v>
      </c>
      <c r="J6" t="s">
        <v>232</v>
      </c>
    </row>
    <row r="7" spans="1:11" ht="15.75" x14ac:dyDescent="0.25">
      <c r="A7" s="53">
        <v>3</v>
      </c>
      <c r="B7" s="55">
        <f t="shared" ref="B7:B28" si="2">F6</f>
        <v>50824424.387932397</v>
      </c>
      <c r="C7" s="55">
        <f t="shared" si="1"/>
        <v>2538635.7573739723</v>
      </c>
      <c r="D7" s="55">
        <f>+Tabla122024[[#This Row],[Cuota]]-Tabla122024[[#This Row],[Interes]]</f>
        <v>2113989.779081651</v>
      </c>
      <c r="E7" s="55">
        <f t="shared" si="0"/>
        <v>424645.9782923212</v>
      </c>
      <c r="F7" s="55">
        <f>+Tabla122024[[#This Row],[Saldo inicial]]-Tabla122024[[#This Row],[Amortiza]]</f>
        <v>48710434.608850747</v>
      </c>
      <c r="H7" s="48" t="s">
        <v>128</v>
      </c>
      <c r="I7">
        <v>24</v>
      </c>
      <c r="J7" t="s">
        <v>230</v>
      </c>
    </row>
    <row r="8" spans="1:11" ht="15.75" x14ac:dyDescent="0.25">
      <c r="A8" s="43">
        <v>4</v>
      </c>
      <c r="B8" s="55">
        <f t="shared" si="2"/>
        <v>48710434.608850747</v>
      </c>
      <c r="C8" s="55">
        <f t="shared" si="1"/>
        <v>2538635.7573739723</v>
      </c>
      <c r="D8" s="55">
        <f>+Tabla122024[[#This Row],[Cuota]]-Tabla122024[[#This Row],[Interes]]</f>
        <v>2131652.4927994921</v>
      </c>
      <c r="E8" s="55">
        <f t="shared" si="0"/>
        <v>406983.26457448042</v>
      </c>
      <c r="F8" s="55">
        <f>+Tabla122024[[#This Row],[Saldo inicial]]-Tabla122024[[#This Row],[Amortiza]]</f>
        <v>46578782.116051257</v>
      </c>
      <c r="H8" s="50" t="s">
        <v>129</v>
      </c>
      <c r="I8" s="52">
        <f>PMT(I6,I7,-I4)</f>
        <v>2538635.7573739723</v>
      </c>
      <c r="J8" t="s">
        <v>233</v>
      </c>
    </row>
    <row r="9" spans="1:11" ht="15.75" x14ac:dyDescent="0.25">
      <c r="A9" s="53">
        <v>5</v>
      </c>
      <c r="B9" s="55">
        <f t="shared" si="2"/>
        <v>46578782.116051257</v>
      </c>
      <c r="C9" s="55">
        <f t="shared" si="1"/>
        <v>2538635.7573739723</v>
      </c>
      <c r="D9" s="55">
        <f>+Tabla122024[[#This Row],[Cuota]]-Tabla122024[[#This Row],[Interes]]</f>
        <v>2149462.7812402407</v>
      </c>
      <c r="E9" s="55">
        <f t="shared" si="0"/>
        <v>389172.9761337316</v>
      </c>
      <c r="F9" s="55">
        <f>+Tabla122024[[#This Row],[Saldo inicial]]-Tabla122024[[#This Row],[Amortiza]]</f>
        <v>44429319.334811017</v>
      </c>
    </row>
    <row r="10" spans="1:11" ht="15.75" x14ac:dyDescent="0.25">
      <c r="A10" s="43">
        <v>6</v>
      </c>
      <c r="B10" s="55">
        <f t="shared" si="2"/>
        <v>44429319.334811017</v>
      </c>
      <c r="C10" s="55">
        <f t="shared" si="1"/>
        <v>2538635.7573739723</v>
      </c>
      <c r="D10" s="55">
        <f>+Tabla122024[[#This Row],[Cuota]]-Tabla122024[[#This Row],[Interes]]</f>
        <v>2167421.8774136826</v>
      </c>
      <c r="E10" s="55">
        <f t="shared" si="0"/>
        <v>371213.87996028987</v>
      </c>
      <c r="F10" s="55">
        <f>+Tabla122024[[#This Row],[Saldo inicial]]-Tabla122024[[#This Row],[Amortiza]]</f>
        <v>42261897.457397334</v>
      </c>
    </row>
    <row r="11" spans="1:11" ht="15.75" x14ac:dyDescent="0.25">
      <c r="A11" s="53">
        <v>7</v>
      </c>
      <c r="B11" s="55">
        <f t="shared" si="2"/>
        <v>42261897.457397334</v>
      </c>
      <c r="C11" s="55">
        <f t="shared" si="1"/>
        <v>2538635.7573739723</v>
      </c>
      <c r="D11" s="55">
        <f>+Tabla122024[[#This Row],[Cuota]]-Tabla122024[[#This Row],[Interes]]</f>
        <v>2185531.0246315906</v>
      </c>
      <c r="E11" s="55">
        <f t="shared" si="0"/>
        <v>353104.73274238163</v>
      </c>
      <c r="F11" s="55">
        <f>+Tabla122024[[#This Row],[Saldo inicial]]-Tabla122024[[#This Row],[Amortiza]]</f>
        <v>40076366.432765745</v>
      </c>
    </row>
    <row r="12" spans="1:11" ht="15.75" x14ac:dyDescent="0.25">
      <c r="A12" s="43">
        <v>8</v>
      </c>
      <c r="B12" s="55">
        <f t="shared" si="2"/>
        <v>40076366.432765745</v>
      </c>
      <c r="C12" s="55">
        <f t="shared" si="1"/>
        <v>2538635.7573739723</v>
      </c>
      <c r="D12" s="55">
        <f>+Tabla122024[[#This Row],[Cuota]]-Tabla122024[[#This Row],[Interes]]</f>
        <v>2203791.4765938022</v>
      </c>
      <c r="E12" s="55">
        <f t="shared" si="0"/>
        <v>334844.28078016994</v>
      </c>
      <c r="F12" s="55">
        <f>+Tabla122024[[#This Row],[Saldo inicial]]-Tabla122024[[#This Row],[Amortiza]]</f>
        <v>37872574.956171945</v>
      </c>
      <c r="J12" t="s">
        <v>280</v>
      </c>
      <c r="K12" t="s">
        <v>281</v>
      </c>
    </row>
    <row r="13" spans="1:11" ht="15.75" x14ac:dyDescent="0.25">
      <c r="A13" s="53">
        <v>9</v>
      </c>
      <c r="B13" s="55">
        <f t="shared" si="2"/>
        <v>37872574.956171945</v>
      </c>
      <c r="C13" s="55">
        <f t="shared" si="1"/>
        <v>2538635.7573739723</v>
      </c>
      <c r="D13" s="55">
        <f>+Tabla122024[[#This Row],[Cuota]]-Tabla122024[[#This Row],[Interes]]</f>
        <v>2222204.4974750117</v>
      </c>
      <c r="E13" s="55">
        <f t="shared" si="0"/>
        <v>316431.25989896042</v>
      </c>
      <c r="F13" s="55">
        <f>+Tabla122024[[#This Row],[Saldo inicial]]-Tabla122024[[#This Row],[Amortiza]]</f>
        <v>35650370.458696932</v>
      </c>
      <c r="H13" t="s">
        <v>227</v>
      </c>
      <c r="I13" s="55">
        <f>SUM(C5:C16)</f>
        <v>30463629.088487674</v>
      </c>
      <c r="J13" s="55">
        <f>SUM(E5:E16)</f>
        <v>4335363.0552335214</v>
      </c>
      <c r="K13" s="55">
        <f>+I13-J13</f>
        <v>26128266.033254154</v>
      </c>
    </row>
    <row r="14" spans="1:11" ht="15.75" x14ac:dyDescent="0.25">
      <c r="A14" s="43">
        <v>10</v>
      </c>
      <c r="B14" s="55">
        <f t="shared" si="2"/>
        <v>35650370.458696932</v>
      </c>
      <c r="C14" s="55">
        <f t="shared" si="1"/>
        <v>2538635.7573739723</v>
      </c>
      <c r="D14" s="55">
        <f>+Tabla122024[[#This Row],[Cuota]]-Tabla122024[[#This Row],[Interes]]</f>
        <v>2240771.3620122899</v>
      </c>
      <c r="E14" s="55">
        <f t="shared" si="0"/>
        <v>297864.39536168234</v>
      </c>
      <c r="F14" s="55">
        <f>+Tabla122024[[#This Row],[Saldo inicial]]-Tabla122024[[#This Row],[Amortiza]]</f>
        <v>33409599.096684642</v>
      </c>
      <c r="H14" t="s">
        <v>228</v>
      </c>
      <c r="I14" s="55">
        <f>SUM(C17:C28)</f>
        <v>30463629.088487674</v>
      </c>
      <c r="J14" s="55">
        <f>SUM(E17:E28)</f>
        <v>1591895.1217418062</v>
      </c>
      <c r="K14" s="55">
        <f>+I14-J14</f>
        <v>28871733.966745868</v>
      </c>
    </row>
    <row r="15" spans="1:11" ht="15.75" x14ac:dyDescent="0.25">
      <c r="A15" s="53">
        <v>11</v>
      </c>
      <c r="B15" s="55">
        <f t="shared" si="2"/>
        <v>33409599.096684642</v>
      </c>
      <c r="C15" s="55">
        <f t="shared" si="1"/>
        <v>2538635.7573739723</v>
      </c>
      <c r="D15" s="55">
        <f>+Tabla122024[[#This Row],[Cuota]]-Tabla122024[[#This Row],[Interes]]</f>
        <v>2259493.355593334</v>
      </c>
      <c r="E15" s="55">
        <f t="shared" si="0"/>
        <v>279142.40178063838</v>
      </c>
      <c r="F15" s="55">
        <f>+Tabla122024[[#This Row],[Saldo inicial]]-Tabla122024[[#This Row],[Amortiza]]</f>
        <v>31150105.741091307</v>
      </c>
    </row>
    <row r="16" spans="1:11" ht="15.75" x14ac:dyDescent="0.25">
      <c r="A16" s="43">
        <v>12</v>
      </c>
      <c r="B16" s="55">
        <f t="shared" si="2"/>
        <v>31150105.741091307</v>
      </c>
      <c r="C16" s="55">
        <f t="shared" si="1"/>
        <v>2538635.7573739723</v>
      </c>
      <c r="D16" s="55">
        <f>+Tabla122024[[#This Row],[Cuota]]-Tabla122024[[#This Row],[Interes]]</f>
        <v>2278371.7743454557</v>
      </c>
      <c r="E16" s="55">
        <f t="shared" si="0"/>
        <v>260263.98302851673</v>
      </c>
      <c r="F16" s="55">
        <f>+Tabla122024[[#This Row],[Saldo inicial]]-Tabla122024[[#This Row],[Amortiza]]</f>
        <v>28871733.966745853</v>
      </c>
    </row>
    <row r="17" spans="1:6" ht="15.75" x14ac:dyDescent="0.25">
      <c r="A17" s="53">
        <v>13</v>
      </c>
      <c r="B17" s="55">
        <f t="shared" si="2"/>
        <v>28871733.966745853</v>
      </c>
      <c r="C17" s="55">
        <f t="shared" si="1"/>
        <v>2538635.7573739723</v>
      </c>
      <c r="D17" s="55">
        <f>+Tabla122024[[#This Row],[Cuota]]-Tabla122024[[#This Row],[Interes]]</f>
        <v>2297407.9252253119</v>
      </c>
      <c r="E17" s="55">
        <f t="shared" si="0"/>
        <v>241227.83214866027</v>
      </c>
      <c r="F17" s="55">
        <f>+Tabla122024[[#This Row],[Saldo inicial]]-Tabla122024[[#This Row],[Amortiza]]</f>
        <v>26574326.041520543</v>
      </c>
    </row>
    <row r="18" spans="1:6" ht="15.75" x14ac:dyDescent="0.25">
      <c r="A18" s="43">
        <v>14</v>
      </c>
      <c r="B18" s="55">
        <f t="shared" si="2"/>
        <v>26574326.041520543</v>
      </c>
      <c r="C18" s="55">
        <f t="shared" si="1"/>
        <v>2538635.7573739723</v>
      </c>
      <c r="D18" s="55">
        <f>+Tabla122024[[#This Row],[Cuota]]-Tabla122024[[#This Row],[Interes]]</f>
        <v>2316603.1261093868</v>
      </c>
      <c r="E18" s="55">
        <f t="shared" si="0"/>
        <v>222032.63126458545</v>
      </c>
      <c r="F18" s="55">
        <f>+Tabla122024[[#This Row],[Saldo inicial]]-Tabla122024[[#This Row],[Amortiza]]</f>
        <v>24257722.915411156</v>
      </c>
    </row>
    <row r="19" spans="1:6" ht="15.75" x14ac:dyDescent="0.25">
      <c r="A19" s="53">
        <v>15</v>
      </c>
      <c r="B19" s="55">
        <f t="shared" si="2"/>
        <v>24257722.915411156</v>
      </c>
      <c r="C19" s="55">
        <f t="shared" si="1"/>
        <v>2538635.7573739723</v>
      </c>
      <c r="D19" s="55">
        <f>+Tabla122024[[#This Row],[Cuota]]-Tabla122024[[#This Row],[Interes]]</f>
        <v>2335958.7058852268</v>
      </c>
      <c r="E19" s="55">
        <f t="shared" si="0"/>
        <v>202677.05148874552</v>
      </c>
      <c r="F19" s="55">
        <f>+Tabla122024[[#This Row],[Saldo inicial]]-Tabla122024[[#This Row],[Amortiza]]</f>
        <v>21921764.209525928</v>
      </c>
    </row>
    <row r="20" spans="1:6" ht="15.75" x14ac:dyDescent="0.25">
      <c r="A20" s="43">
        <v>16</v>
      </c>
      <c r="B20" s="55">
        <f t="shared" si="2"/>
        <v>21921764.209525928</v>
      </c>
      <c r="C20" s="55">
        <f t="shared" si="1"/>
        <v>2538635.7573739723</v>
      </c>
      <c r="D20" s="55">
        <f>+Tabla122024[[#This Row],[Cuota]]-Tabla122024[[#This Row],[Interes]]</f>
        <v>2355476.0045434409</v>
      </c>
      <c r="E20" s="55">
        <f t="shared" si="0"/>
        <v>183159.75283053142</v>
      </c>
      <c r="F20" s="55">
        <f>+Tabla122024[[#This Row],[Saldo inicial]]-Tabla122024[[#This Row],[Amortiza]]</f>
        <v>19566288.204982486</v>
      </c>
    </row>
    <row r="21" spans="1:6" ht="15.75" x14ac:dyDescent="0.25">
      <c r="A21" s="53">
        <v>17</v>
      </c>
      <c r="B21" s="55">
        <f t="shared" si="2"/>
        <v>19566288.204982486</v>
      </c>
      <c r="C21" s="55">
        <f t="shared" si="1"/>
        <v>2538635.7573739723</v>
      </c>
      <c r="D21" s="55">
        <f>+Tabla122024[[#This Row],[Cuota]]-Tabla122024[[#This Row],[Interes]]</f>
        <v>2375156.3732704683</v>
      </c>
      <c r="E21" s="55">
        <f t="shared" si="0"/>
        <v>163479.38410350392</v>
      </c>
      <c r="F21" s="55">
        <f>+Tabla122024[[#This Row],[Saldo inicial]]-Tabla122024[[#This Row],[Amortiza]]</f>
        <v>17191131.831712019</v>
      </c>
    </row>
    <row r="22" spans="1:6" ht="15.75" x14ac:dyDescent="0.25">
      <c r="A22" s="43">
        <v>18</v>
      </c>
      <c r="B22" s="55">
        <f t="shared" si="2"/>
        <v>17191131.831712019</v>
      </c>
      <c r="C22" s="55">
        <f t="shared" si="1"/>
        <v>2538635.7573739723</v>
      </c>
      <c r="D22" s="55">
        <f>+Tabla122024[[#This Row],[Cuota]]-Tabla122024[[#This Row],[Interes]]</f>
        <v>2395001.1745421216</v>
      </c>
      <c r="E22" s="55">
        <f t="shared" si="0"/>
        <v>143634.5828318508</v>
      </c>
      <c r="F22" s="55">
        <f>+Tabla122024[[#This Row],[Saldo inicial]]-Tabla122024[[#This Row],[Amortiza]]</f>
        <v>14796130.657169897</v>
      </c>
    </row>
    <row r="23" spans="1:6" ht="15.75" x14ac:dyDescent="0.25">
      <c r="A23" s="53">
        <v>19</v>
      </c>
      <c r="B23" s="55">
        <f t="shared" si="2"/>
        <v>14796130.657169897</v>
      </c>
      <c r="C23" s="55">
        <f t="shared" si="1"/>
        <v>2538635.7573739723</v>
      </c>
      <c r="D23" s="55">
        <f>+Tabla122024[[#This Row],[Cuota]]-Tabla122024[[#This Row],[Interes]]</f>
        <v>2415011.78221791</v>
      </c>
      <c r="E23" s="55">
        <f t="shared" si="0"/>
        <v>123623.9751560622</v>
      </c>
      <c r="F23" s="55">
        <f>+Tabla122024[[#This Row],[Saldo inicial]]-Tabla122024[[#This Row],[Amortiza]]</f>
        <v>12381118.874951987</v>
      </c>
    </row>
    <row r="24" spans="1:6" ht="15.75" x14ac:dyDescent="0.25">
      <c r="A24" s="43">
        <v>20</v>
      </c>
      <c r="B24" s="55">
        <f t="shared" si="2"/>
        <v>12381118.874951987</v>
      </c>
      <c r="C24" s="55">
        <f t="shared" si="1"/>
        <v>2538635.7573739723</v>
      </c>
      <c r="D24" s="55">
        <f>+Tabla122024[[#This Row],[Cuota]]-Tabla122024[[#This Row],[Interes]]</f>
        <v>2435189.5816361541</v>
      </c>
      <c r="E24" s="55">
        <f t="shared" si="0"/>
        <v>103446.17573781824</v>
      </c>
      <c r="F24" s="55">
        <f>+Tabla122024[[#This Row],[Saldo inicial]]-Tabla122024[[#This Row],[Amortiza]]</f>
        <v>9945929.2933158316</v>
      </c>
    </row>
    <row r="25" spans="1:6" ht="15.75" x14ac:dyDescent="0.25">
      <c r="A25" s="53">
        <v>21</v>
      </c>
      <c r="B25" s="55">
        <f t="shared" si="2"/>
        <v>9945929.2933158316</v>
      </c>
      <c r="C25" s="55">
        <f t="shared" si="1"/>
        <v>2538635.7573739723</v>
      </c>
      <c r="D25" s="55">
        <f>+Tabla122024[[#This Row],[Cuota]]-Tabla122024[[#This Row],[Interes]]</f>
        <v>2455535.9697098909</v>
      </c>
      <c r="E25" s="55">
        <f t="shared" si="0"/>
        <v>83099.787664081668</v>
      </c>
      <c r="F25" s="55">
        <f>+Tabla122024[[#This Row],[Saldo inicial]]-Tabla122024[[#This Row],[Amortiza]]</f>
        <v>7490393.3236059407</v>
      </c>
    </row>
    <row r="26" spans="1:6" ht="15.75" x14ac:dyDescent="0.25">
      <c r="A26" s="43">
        <v>22</v>
      </c>
      <c r="B26" s="55">
        <f t="shared" si="2"/>
        <v>7490393.3236059407</v>
      </c>
      <c r="C26" s="55">
        <f t="shared" si="1"/>
        <v>2538635.7573739723</v>
      </c>
      <c r="D26" s="55">
        <f>+Tabla122024[[#This Row],[Cuota]]-Tabla122024[[#This Row],[Interes]]</f>
        <v>2476052.3550235829</v>
      </c>
      <c r="E26" s="55">
        <f t="shared" si="0"/>
        <v>62583.402350389384</v>
      </c>
      <c r="F26" s="55">
        <f>+Tabla122024[[#This Row],[Saldo inicial]]-Tabla122024[[#This Row],[Amortiza]]</f>
        <v>5014340.9685823582</v>
      </c>
    </row>
    <row r="27" spans="1:6" ht="15.75" x14ac:dyDescent="0.25">
      <c r="A27" s="53">
        <v>23</v>
      </c>
      <c r="B27" s="55">
        <f t="shared" si="2"/>
        <v>5014340.9685823582</v>
      </c>
      <c r="C27" s="55">
        <f t="shared" si="1"/>
        <v>2538635.7573739723</v>
      </c>
      <c r="D27" s="55">
        <f>+Tabla122024[[#This Row],[Cuota]]-Tabla122024[[#This Row],[Interes]]</f>
        <v>2496740.1579306368</v>
      </c>
      <c r="E27" s="55">
        <f t="shared" si="0"/>
        <v>41895.599443335763</v>
      </c>
      <c r="F27" s="55">
        <f>+Tabla122024[[#This Row],[Saldo inicial]]-Tabla122024[[#This Row],[Amortiza]]</f>
        <v>2517600.8106517214</v>
      </c>
    </row>
    <row r="28" spans="1:6" ht="15.75" x14ac:dyDescent="0.25">
      <c r="A28" s="54">
        <v>24</v>
      </c>
      <c r="B28" s="55">
        <f t="shared" si="2"/>
        <v>2517600.8106517214</v>
      </c>
      <c r="C28" s="55">
        <f t="shared" si="1"/>
        <v>2538635.7573739723</v>
      </c>
      <c r="D28" s="55">
        <f>+Tabla122024[[#This Row],[Cuota]]-Tabla122024[[#This Row],[Interes]]</f>
        <v>2517600.8106517312</v>
      </c>
      <c r="E28" s="55">
        <f t="shared" si="0"/>
        <v>21034.946722241333</v>
      </c>
      <c r="F28" s="55">
        <f>+Tabla122024[[#This Row],[Saldo inicial]]-Tabla122024[[#This Row],[Amortiza]]</f>
        <v>-9.7788870334625244E-9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F172-6557-410F-9436-A60219095C9B}">
  <sheetPr>
    <tabColor rgb="FFFFFF00"/>
  </sheetPr>
  <dimension ref="A2:K16"/>
  <sheetViews>
    <sheetView topLeftCell="B1" workbookViewId="0">
      <selection activeCell="J4" sqref="J4"/>
    </sheetView>
  </sheetViews>
  <sheetFormatPr baseColWidth="10" defaultRowHeight="15" x14ac:dyDescent="0.25"/>
  <cols>
    <col min="1" max="1" width="19.5703125" bestFit="1" customWidth="1"/>
    <col min="2" max="2" width="16.7109375" bestFit="1" customWidth="1"/>
    <col min="3" max="3" width="16.28515625" bestFit="1" customWidth="1"/>
    <col min="4" max="4" width="14.5703125" bestFit="1" customWidth="1"/>
    <col min="5" max="6" width="18.5703125" bestFit="1" customWidth="1"/>
    <col min="7" max="7" width="22.5703125" customWidth="1"/>
    <col min="8" max="11" width="15.5703125" bestFit="1" customWidth="1"/>
  </cols>
  <sheetData>
    <row r="2" spans="1:11" x14ac:dyDescent="0.25">
      <c r="A2" t="s">
        <v>236</v>
      </c>
    </row>
    <row r="3" spans="1:11" ht="16.5" thickBot="1" x14ac:dyDescent="0.3">
      <c r="A3" s="40" t="s">
        <v>120</v>
      </c>
      <c r="B3" s="41" t="s">
        <v>121</v>
      </c>
      <c r="C3" s="41" t="s">
        <v>234</v>
      </c>
      <c r="D3" s="41" t="s">
        <v>235</v>
      </c>
      <c r="E3" s="41" t="s">
        <v>122</v>
      </c>
      <c r="F3" s="42" t="s">
        <v>123</v>
      </c>
      <c r="H3" s="46" t="s">
        <v>124</v>
      </c>
      <c r="I3" s="47" t="s">
        <v>125</v>
      </c>
    </row>
    <row r="4" spans="1:11" ht="16.5" thickTop="1" x14ac:dyDescent="0.25">
      <c r="A4" s="43">
        <v>0</v>
      </c>
      <c r="B4" s="44"/>
      <c r="C4" s="44"/>
      <c r="D4" s="44">
        <f>+Tabla12202426[[#This Row],[Cuota]]-Tabla12202426[[#This Row],[Interes]]</f>
        <v>0</v>
      </c>
      <c r="E4" s="44">
        <v>0</v>
      </c>
      <c r="F4" s="45">
        <f>+Tabla11182325[[#This Row],[RUBRO ]]</f>
        <v>11100000</v>
      </c>
      <c r="H4" s="48" t="s">
        <v>126</v>
      </c>
      <c r="I4" s="23">
        <v>11100000</v>
      </c>
      <c r="J4" s="61"/>
    </row>
    <row r="5" spans="1:11" ht="15.75" x14ac:dyDescent="0.25">
      <c r="A5" s="53">
        <v>1</v>
      </c>
      <c r="B5" s="55">
        <f>F4</f>
        <v>11100000</v>
      </c>
      <c r="C5" s="55">
        <f>$I$8</f>
        <v>976001.54321549193</v>
      </c>
      <c r="D5" s="55">
        <f>+Tabla12202426[[#This Row],[Cuota]]-Tabla12202426[[#This Row],[Interes]]</f>
        <v>883259.31512714108</v>
      </c>
      <c r="E5" s="55">
        <f t="shared" ref="E5:E16" si="0">+F4*$I$6</f>
        <v>92742.228088350792</v>
      </c>
      <c r="F5" s="55">
        <f>+Tabla12202426[[#This Row],[Saldo inicial]]-Tabla12202426[[#This Row],[Amortiza]]</f>
        <v>10216740.684872858</v>
      </c>
      <c r="H5" s="49" t="s">
        <v>127</v>
      </c>
      <c r="I5" s="51">
        <v>0.105</v>
      </c>
      <c r="J5" t="s">
        <v>229</v>
      </c>
    </row>
    <row r="6" spans="1:11" ht="15.75" x14ac:dyDescent="0.25">
      <c r="A6" s="43">
        <v>2</v>
      </c>
      <c r="B6" s="55">
        <f>F5</f>
        <v>10216740.684872858</v>
      </c>
      <c r="C6" s="55">
        <f t="shared" ref="C6:C16" si="1">$I$8</f>
        <v>976001.54321549193</v>
      </c>
      <c r="D6" s="55">
        <f>+Tabla12202426[[#This Row],[Cuota]]-Tabla12202426[[#This Row],[Interes]]</f>
        <v>890639.08421404939</v>
      </c>
      <c r="E6" s="55">
        <f t="shared" si="0"/>
        <v>85362.459001442519</v>
      </c>
      <c r="F6" s="55">
        <f>+Tabla12202426[[#This Row],[Saldo inicial]]-Tabla12202426[[#This Row],[Amortiza]]</f>
        <v>9326101.6006588079</v>
      </c>
      <c r="H6" s="48" t="s">
        <v>231</v>
      </c>
      <c r="I6" s="51">
        <f>(NOMINAL(I5,12))/12</f>
        <v>8.355155683635207E-3</v>
      </c>
      <c r="J6" t="s">
        <v>232</v>
      </c>
    </row>
    <row r="7" spans="1:11" ht="15.75" x14ac:dyDescent="0.25">
      <c r="A7" s="53">
        <v>3</v>
      </c>
      <c r="B7" s="55">
        <f t="shared" ref="B7:B16" si="2">F6</f>
        <v>9326101.6006588079</v>
      </c>
      <c r="C7" s="55">
        <f t="shared" si="1"/>
        <v>976001.54321549193</v>
      </c>
      <c r="D7" s="55">
        <f>+Tabla12202426[[#This Row],[Cuota]]-Tabla12202426[[#This Row],[Interes]]</f>
        <v>898080.51242058806</v>
      </c>
      <c r="E7" s="55">
        <f t="shared" si="0"/>
        <v>77921.03079490384</v>
      </c>
      <c r="F7" s="55">
        <f>+Tabla12202426[[#This Row],[Saldo inicial]]-Tabla12202426[[#This Row],[Amortiza]]</f>
        <v>8428021.0882382207</v>
      </c>
      <c r="H7" s="48" t="s">
        <v>128</v>
      </c>
      <c r="I7">
        <v>12</v>
      </c>
      <c r="J7" t="s">
        <v>230</v>
      </c>
    </row>
    <row r="8" spans="1:11" ht="15.75" x14ac:dyDescent="0.25">
      <c r="A8" s="43">
        <v>4</v>
      </c>
      <c r="B8" s="55">
        <f t="shared" si="2"/>
        <v>8428021.0882382207</v>
      </c>
      <c r="C8" s="55">
        <f t="shared" si="1"/>
        <v>976001.54321549193</v>
      </c>
      <c r="D8" s="55">
        <f>+Tabla12202426[[#This Row],[Cuota]]-Tabla12202426[[#This Row],[Interes]]</f>
        <v>905584.114918301</v>
      </c>
      <c r="E8" s="55">
        <f t="shared" si="0"/>
        <v>70417.428297190956</v>
      </c>
      <c r="F8" s="55">
        <f>+Tabla12202426[[#This Row],[Saldo inicial]]-Tabla12202426[[#This Row],[Amortiza]]</f>
        <v>7522436.9733199198</v>
      </c>
      <c r="H8" s="50" t="s">
        <v>129</v>
      </c>
      <c r="I8" s="52">
        <f>PMT(I6,I7,-I4)</f>
        <v>976001.54321549193</v>
      </c>
      <c r="J8" t="s">
        <v>233</v>
      </c>
    </row>
    <row r="9" spans="1:11" ht="15.75" x14ac:dyDescent="0.25">
      <c r="A9" s="53">
        <v>5</v>
      </c>
      <c r="B9" s="55">
        <f t="shared" si="2"/>
        <v>7522436.9733199198</v>
      </c>
      <c r="C9" s="55">
        <f t="shared" si="1"/>
        <v>976001.54321549193</v>
      </c>
      <c r="D9" s="55">
        <f>+Tabla12202426[[#This Row],[Cuota]]-Tabla12202426[[#This Row],[Interes]]</f>
        <v>913150.41118307039</v>
      </c>
      <c r="E9" s="55">
        <f t="shared" si="0"/>
        <v>62851.132032421549</v>
      </c>
      <c r="F9" s="55">
        <f>+Tabla12202426[[#This Row],[Saldo inicial]]-Tabla12202426[[#This Row],[Amortiza]]</f>
        <v>6609286.5621368494</v>
      </c>
    </row>
    <row r="10" spans="1:11" ht="15.75" x14ac:dyDescent="0.25">
      <c r="A10" s="43">
        <v>6</v>
      </c>
      <c r="B10" s="55">
        <f t="shared" si="2"/>
        <v>6609286.5621368494</v>
      </c>
      <c r="C10" s="55">
        <f t="shared" si="1"/>
        <v>976001.54321549193</v>
      </c>
      <c r="D10" s="55">
        <f>+Tabla12202426[[#This Row],[Cuota]]-Tabla12202426[[#This Row],[Interes]]</f>
        <v>920779.92503108038</v>
      </c>
      <c r="E10" s="55">
        <f t="shared" si="0"/>
        <v>55221.618184411498</v>
      </c>
      <c r="F10" s="55">
        <f>+Tabla12202426[[#This Row],[Saldo inicial]]-Tabla12202426[[#This Row],[Amortiza]]</f>
        <v>5688506.6371057685</v>
      </c>
    </row>
    <row r="11" spans="1:11" ht="15.75" x14ac:dyDescent="0.25">
      <c r="A11" s="53">
        <v>7</v>
      </c>
      <c r="B11" s="55">
        <f t="shared" si="2"/>
        <v>5688506.6371057685</v>
      </c>
      <c r="C11" s="55">
        <f t="shared" si="1"/>
        <v>976001.54321549193</v>
      </c>
      <c r="D11" s="55">
        <f>+Tabla12202426[[#This Row],[Cuota]]-Tabla12202426[[#This Row],[Interes]]</f>
        <v>928473.18465508102</v>
      </c>
      <c r="E11" s="55">
        <f t="shared" si="0"/>
        <v>47528.358560410859</v>
      </c>
      <c r="F11" s="55">
        <f>+Tabla12202426[[#This Row],[Saldo inicial]]-Tabla12202426[[#This Row],[Amortiza]]</f>
        <v>4760033.4524506871</v>
      </c>
    </row>
    <row r="12" spans="1:11" ht="15.75" x14ac:dyDescent="0.25">
      <c r="A12" s="43">
        <v>8</v>
      </c>
      <c r="B12" s="55">
        <f t="shared" si="2"/>
        <v>4760033.4524506871</v>
      </c>
      <c r="C12" s="55">
        <f t="shared" si="1"/>
        <v>976001.54321549193</v>
      </c>
      <c r="D12" s="55">
        <f>+Tabla12202426[[#This Row],[Cuota]]-Tabla12202426[[#This Row],[Interes]]</f>
        <v>936230.72266095481</v>
      </c>
      <c r="E12" s="55">
        <f t="shared" si="0"/>
        <v>39770.820554537073</v>
      </c>
      <c r="F12" s="55">
        <f>+Tabla12202426[[#This Row],[Saldo inicial]]-Tabla12202426[[#This Row],[Amortiza]]</f>
        <v>3823802.729789732</v>
      </c>
      <c r="J12" t="s">
        <v>280</v>
      </c>
      <c r="K12" t="s">
        <v>281</v>
      </c>
    </row>
    <row r="13" spans="1:11" ht="15.75" x14ac:dyDescent="0.25">
      <c r="A13" s="53">
        <v>9</v>
      </c>
      <c r="B13" s="55">
        <f t="shared" si="2"/>
        <v>3823802.729789732</v>
      </c>
      <c r="C13" s="55">
        <f t="shared" si="1"/>
        <v>976001.54321549193</v>
      </c>
      <c r="D13" s="55">
        <f>+Tabla12202426[[#This Row],[Cuota]]-Tabla12202426[[#This Row],[Interes]]</f>
        <v>944053.07610458939</v>
      </c>
      <c r="E13" s="55">
        <f t="shared" si="0"/>
        <v>31948.4671109025</v>
      </c>
      <c r="F13" s="55">
        <f>+Tabla12202426[[#This Row],[Saldo inicial]]-Tabla12202426[[#This Row],[Amortiza]]</f>
        <v>2879749.6536851428</v>
      </c>
      <c r="H13" t="s">
        <v>227</v>
      </c>
      <c r="I13" s="55">
        <f>SUM(C5:C16)</f>
        <v>11712018.518585905</v>
      </c>
      <c r="J13" s="55">
        <f>SUM(E5:E16)</f>
        <v>612018.51858590136</v>
      </c>
      <c r="K13" s="55">
        <f>+I13-J13</f>
        <v>11100000.000000004</v>
      </c>
    </row>
    <row r="14" spans="1:11" ht="15.75" x14ac:dyDescent="0.25">
      <c r="A14" s="43">
        <v>10</v>
      </c>
      <c r="B14" s="55">
        <f t="shared" si="2"/>
        <v>2879749.6536851428</v>
      </c>
      <c r="C14" s="55">
        <f t="shared" si="1"/>
        <v>976001.54321549193</v>
      </c>
      <c r="D14" s="55">
        <f>+Tabla12202426[[#This Row],[Cuota]]-Tabla12202426[[#This Row],[Interes]]</f>
        <v>951940.78652905801</v>
      </c>
      <c r="E14" s="55">
        <f t="shared" si="0"/>
        <v>24060.756686433939</v>
      </c>
      <c r="F14" s="55">
        <f>+Tabla12202426[[#This Row],[Saldo inicial]]-Tabla12202426[[#This Row],[Amortiza]]</f>
        <v>1927808.8671560846</v>
      </c>
      <c r="I14" s="55"/>
      <c r="J14" s="55"/>
      <c r="K14" s="55"/>
    </row>
    <row r="15" spans="1:11" ht="15.75" x14ac:dyDescent="0.25">
      <c r="A15" s="53">
        <v>11</v>
      </c>
      <c r="B15" s="55">
        <f t="shared" si="2"/>
        <v>1927808.8671560846</v>
      </c>
      <c r="C15" s="55">
        <f t="shared" si="1"/>
        <v>976001.54321549193</v>
      </c>
      <c r="D15" s="55">
        <f>+Tabla12202426[[#This Row],[Cuota]]-Tabla12202426[[#This Row],[Interes]]</f>
        <v>959894.4000021104</v>
      </c>
      <c r="E15" s="55">
        <f t="shared" si="0"/>
        <v>16107.143213381511</v>
      </c>
      <c r="F15" s="55">
        <f>+Tabla12202426[[#This Row],[Saldo inicial]]-Tabla12202426[[#This Row],[Amortiza]]</f>
        <v>967914.46715397423</v>
      </c>
    </row>
    <row r="16" spans="1:11" ht="15.75" x14ac:dyDescent="0.25">
      <c r="A16" s="43">
        <v>12</v>
      </c>
      <c r="B16" s="55">
        <f t="shared" si="2"/>
        <v>967914.46715397423</v>
      </c>
      <c r="C16" s="55">
        <f t="shared" si="1"/>
        <v>976001.54321549193</v>
      </c>
      <c r="D16" s="55">
        <f>+Tabla12202426[[#This Row],[Cuota]]-Tabla12202426[[#This Row],[Interes]]</f>
        <v>967914.4671539776</v>
      </c>
      <c r="E16" s="55">
        <f t="shared" si="0"/>
        <v>8087.0760615142708</v>
      </c>
      <c r="F16" s="55">
        <f>+Tabla12202426[[#This Row],[Saldo inicial]]-Tabla12202426[[#This Row],[Amortiza]]</f>
        <v>-3.3760443329811096E-9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3D3C-B7DC-46E7-A51F-BE4E9349B6C3}">
  <sheetPr>
    <tabColor rgb="FFFFC000"/>
  </sheetPr>
  <dimension ref="A1:F20"/>
  <sheetViews>
    <sheetView workbookViewId="0">
      <selection activeCell="G2" sqref="G2"/>
    </sheetView>
  </sheetViews>
  <sheetFormatPr baseColWidth="10" defaultRowHeight="15" x14ac:dyDescent="0.25"/>
  <cols>
    <col min="1" max="1" width="32.140625" customWidth="1"/>
    <col min="2" max="2" width="23.7109375" customWidth="1"/>
    <col min="3" max="3" width="16.140625" customWidth="1"/>
    <col min="4" max="4" width="16.28515625" bestFit="1" customWidth="1"/>
  </cols>
  <sheetData>
    <row r="1" spans="1:6" ht="30" x14ac:dyDescent="0.25">
      <c r="A1" s="56" t="s">
        <v>30</v>
      </c>
      <c r="B1" s="56" t="s">
        <v>130</v>
      </c>
      <c r="C1" s="56" t="s">
        <v>150</v>
      </c>
      <c r="D1" s="56" t="s">
        <v>131</v>
      </c>
      <c r="F1">
        <v>1390</v>
      </c>
    </row>
    <row r="2" spans="1:6" x14ac:dyDescent="0.25">
      <c r="A2" s="17" t="s">
        <v>132</v>
      </c>
      <c r="B2" s="16">
        <v>86800</v>
      </c>
      <c r="C2" s="16">
        <v>120</v>
      </c>
      <c r="D2" s="16">
        <f>C2*B2</f>
        <v>10416000</v>
      </c>
      <c r="F2" s="23">
        <v>5.3475935828877004E-2</v>
      </c>
    </row>
    <row r="3" spans="1:6" x14ac:dyDescent="0.25">
      <c r="A3" t="s">
        <v>133</v>
      </c>
      <c r="B3" s="16">
        <v>150000</v>
      </c>
      <c r="C3" s="16">
        <v>100</v>
      </c>
      <c r="D3" s="16">
        <f t="shared" ref="D3:D19" si="0">C3*B3</f>
        <v>15000000</v>
      </c>
      <c r="F3" s="23">
        <v>4.4563279857397504E-2</v>
      </c>
    </row>
    <row r="4" spans="1:6" x14ac:dyDescent="0.25">
      <c r="A4" t="s">
        <v>134</v>
      </c>
      <c r="B4" s="16">
        <v>139500</v>
      </c>
      <c r="C4" s="16">
        <v>250</v>
      </c>
      <c r="D4" s="16">
        <f t="shared" si="0"/>
        <v>34875000</v>
      </c>
      <c r="F4" s="23">
        <v>0.11140819964349376</v>
      </c>
    </row>
    <row r="5" spans="1:6" x14ac:dyDescent="0.25">
      <c r="A5" t="s">
        <v>135</v>
      </c>
      <c r="B5" s="16">
        <v>86800</v>
      </c>
      <c r="C5" s="16">
        <v>120</v>
      </c>
      <c r="D5" s="16">
        <f t="shared" si="0"/>
        <v>10416000</v>
      </c>
      <c r="F5" s="23">
        <v>5.3475935828877004E-2</v>
      </c>
    </row>
    <row r="6" spans="1:6" x14ac:dyDescent="0.25">
      <c r="A6" t="s">
        <v>136</v>
      </c>
      <c r="B6" s="16">
        <v>108500</v>
      </c>
      <c r="C6" s="16">
        <v>120</v>
      </c>
      <c r="D6" s="16">
        <f t="shared" si="0"/>
        <v>13020000</v>
      </c>
      <c r="F6" s="23">
        <v>5.3475935828877004E-2</v>
      </c>
    </row>
    <row r="7" spans="1:6" x14ac:dyDescent="0.25">
      <c r="A7" t="s">
        <v>137</v>
      </c>
      <c r="B7" s="16">
        <v>99200</v>
      </c>
      <c r="C7" s="16">
        <v>100</v>
      </c>
      <c r="D7" s="16">
        <f t="shared" si="0"/>
        <v>9920000</v>
      </c>
      <c r="F7" s="23">
        <v>4.4563279857397504E-2</v>
      </c>
    </row>
    <row r="8" spans="1:6" x14ac:dyDescent="0.25">
      <c r="A8" t="s">
        <v>138</v>
      </c>
      <c r="B8" s="16">
        <v>259200</v>
      </c>
      <c r="C8" s="16">
        <v>150</v>
      </c>
      <c r="D8" s="16">
        <f t="shared" si="0"/>
        <v>38880000</v>
      </c>
      <c r="F8" s="23">
        <v>6.684491978609626E-2</v>
      </c>
    </row>
    <row r="9" spans="1:6" x14ac:dyDescent="0.25">
      <c r="A9" t="s">
        <v>139</v>
      </c>
      <c r="B9" s="16">
        <v>108500</v>
      </c>
      <c r="C9" s="16">
        <v>150</v>
      </c>
      <c r="D9" s="16">
        <f t="shared" si="0"/>
        <v>16275000</v>
      </c>
      <c r="F9" s="23">
        <v>6.684491978609626E-2</v>
      </c>
    </row>
    <row r="10" spans="1:6" x14ac:dyDescent="0.25">
      <c r="A10" t="s">
        <v>140</v>
      </c>
      <c r="B10" s="16">
        <v>99200</v>
      </c>
      <c r="C10" s="16">
        <v>180</v>
      </c>
      <c r="D10" s="16">
        <f t="shared" si="0"/>
        <v>17856000</v>
      </c>
      <c r="F10" s="23">
        <v>8.0213903743315509E-2</v>
      </c>
    </row>
    <row r="11" spans="1:6" x14ac:dyDescent="0.25">
      <c r="A11" t="s">
        <v>141</v>
      </c>
      <c r="B11" s="16">
        <v>226800</v>
      </c>
      <c r="C11" s="16">
        <v>150</v>
      </c>
      <c r="D11" s="16">
        <f t="shared" si="0"/>
        <v>34020000</v>
      </c>
      <c r="F11" s="23">
        <v>6.684491978609626E-2</v>
      </c>
    </row>
    <row r="12" spans="1:6" x14ac:dyDescent="0.25">
      <c r="A12" t="s">
        <v>142</v>
      </c>
      <c r="B12" s="16">
        <v>108500</v>
      </c>
      <c r="C12" s="16">
        <v>100</v>
      </c>
      <c r="D12" s="16">
        <f t="shared" si="0"/>
        <v>10850000</v>
      </c>
      <c r="F12" s="23">
        <v>4.4563279857397504E-2</v>
      </c>
    </row>
    <row r="13" spans="1:6" x14ac:dyDescent="0.25">
      <c r="A13" t="s">
        <v>143</v>
      </c>
      <c r="B13" s="16">
        <v>108500</v>
      </c>
      <c r="C13" s="16">
        <v>120</v>
      </c>
      <c r="D13" s="16">
        <f t="shared" si="0"/>
        <v>13020000</v>
      </c>
      <c r="F13" s="23">
        <v>5.3475935828877004E-2</v>
      </c>
    </row>
    <row r="14" spans="1:6" x14ac:dyDescent="0.25">
      <c r="A14" t="s">
        <v>144</v>
      </c>
      <c r="B14" s="16">
        <v>124000</v>
      </c>
      <c r="C14" s="16">
        <v>180</v>
      </c>
      <c r="D14" s="16">
        <f t="shared" si="0"/>
        <v>22320000</v>
      </c>
      <c r="F14" s="23">
        <v>8.0213903743315509E-2</v>
      </c>
    </row>
    <row r="15" spans="1:6" x14ac:dyDescent="0.25">
      <c r="A15" t="s">
        <v>145</v>
      </c>
      <c r="B15" s="16">
        <v>159500</v>
      </c>
      <c r="C15" s="16">
        <v>100</v>
      </c>
      <c r="D15" s="16">
        <f t="shared" si="0"/>
        <v>15950000</v>
      </c>
      <c r="F15" s="23">
        <v>4.4563279857397504E-2</v>
      </c>
    </row>
    <row r="16" spans="1:6" x14ac:dyDescent="0.25">
      <c r="A16" t="s">
        <v>146</v>
      </c>
      <c r="B16" s="16">
        <v>114000</v>
      </c>
      <c r="C16" s="16">
        <v>85</v>
      </c>
      <c r="D16" s="16">
        <f t="shared" si="0"/>
        <v>9690000</v>
      </c>
      <c r="F16" s="23">
        <v>3.787878787878788E-2</v>
      </c>
    </row>
    <row r="17" spans="1:6" x14ac:dyDescent="0.25">
      <c r="A17" t="s">
        <v>147</v>
      </c>
      <c r="B17" s="16">
        <v>145000</v>
      </c>
      <c r="C17" s="16">
        <v>63</v>
      </c>
      <c r="D17" s="16">
        <f t="shared" si="0"/>
        <v>9135000</v>
      </c>
      <c r="F17" s="23">
        <v>2.8074866310160429E-2</v>
      </c>
    </row>
    <row r="18" spans="1:6" x14ac:dyDescent="0.25">
      <c r="A18" t="s">
        <v>148</v>
      </c>
      <c r="B18" s="16">
        <v>124000</v>
      </c>
      <c r="C18" s="16">
        <v>58</v>
      </c>
      <c r="D18" s="16">
        <f t="shared" si="0"/>
        <v>7192000</v>
      </c>
      <c r="F18" s="23">
        <v>2.5846702317290554E-2</v>
      </c>
    </row>
    <row r="19" spans="1:6" x14ac:dyDescent="0.25">
      <c r="A19" t="s">
        <v>149</v>
      </c>
      <c r="B19" s="16">
        <v>139500</v>
      </c>
      <c r="C19" s="16">
        <v>98</v>
      </c>
      <c r="D19" s="16">
        <f t="shared" si="0"/>
        <v>13671000</v>
      </c>
      <c r="F19" s="23">
        <v>4.3672014260249553E-2</v>
      </c>
    </row>
    <row r="20" spans="1:6" x14ac:dyDescent="0.25">
      <c r="B20" s="23"/>
      <c r="C20" s="23" t="s">
        <v>204</v>
      </c>
      <c r="D20" s="23">
        <f>SUM(Tabla13[Precio total])</f>
        <v>302506000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658A-537F-43F9-967F-EA2EF02323AA}">
  <sheetPr>
    <tabColor rgb="FF7030A0"/>
  </sheetPr>
  <dimension ref="A1:H19"/>
  <sheetViews>
    <sheetView workbookViewId="0">
      <selection activeCell="C3" sqref="C3"/>
    </sheetView>
  </sheetViews>
  <sheetFormatPr baseColWidth="10" defaultRowHeight="15" x14ac:dyDescent="0.25"/>
  <cols>
    <col min="1" max="1" width="39" customWidth="1"/>
    <col min="2" max="2" width="12" hidden="1" customWidth="1"/>
    <col min="3" max="3" width="14.140625" bestFit="1" customWidth="1"/>
    <col min="4" max="8" width="12.5703125" bestFit="1" customWidth="1"/>
  </cols>
  <sheetData>
    <row r="1" spans="1:8" x14ac:dyDescent="0.25">
      <c r="A1" t="s">
        <v>151</v>
      </c>
    </row>
    <row r="2" spans="1:8" x14ac:dyDescent="0.25">
      <c r="A2" t="s">
        <v>205</v>
      </c>
      <c r="B2" t="s">
        <v>197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25">
      <c r="A3" t="s">
        <v>158</v>
      </c>
      <c r="B3" s="9">
        <v>0</v>
      </c>
      <c r="C3" s="9">
        <f>685000*12</f>
        <v>8220000</v>
      </c>
      <c r="D3" s="9">
        <f t="shared" ref="D3:H3" si="0">+C5</f>
        <v>8631000</v>
      </c>
      <c r="E3" s="9">
        <f t="shared" si="0"/>
        <v>9062550</v>
      </c>
      <c r="F3" s="9">
        <f t="shared" si="0"/>
        <v>9515677.5</v>
      </c>
      <c r="G3" s="9">
        <f t="shared" si="0"/>
        <v>9991461.375</v>
      </c>
      <c r="H3" s="9">
        <f t="shared" si="0"/>
        <v>10491034.44375</v>
      </c>
    </row>
    <row r="4" spans="1:8" x14ac:dyDescent="0.25">
      <c r="A4" t="s">
        <v>246</v>
      </c>
      <c r="B4" s="9"/>
      <c r="C4" s="9">
        <f>(MP!F3)*12</f>
        <v>185066460.00000003</v>
      </c>
      <c r="D4" s="9">
        <f t="shared" ref="D4:H4" si="1">C4*(1+5%)</f>
        <v>194319783.00000003</v>
      </c>
      <c r="E4" s="9">
        <f t="shared" si="1"/>
        <v>204035772.15000004</v>
      </c>
      <c r="F4" s="9">
        <f t="shared" si="1"/>
        <v>214237560.75750005</v>
      </c>
      <c r="G4" s="9">
        <f t="shared" si="1"/>
        <v>224949438.79537508</v>
      </c>
      <c r="H4" s="9">
        <f t="shared" si="1"/>
        <v>236196910.73514384</v>
      </c>
    </row>
    <row r="5" spans="1:8" x14ac:dyDescent="0.25">
      <c r="A5" t="s">
        <v>159</v>
      </c>
      <c r="B5" s="9">
        <v>0</v>
      </c>
      <c r="C5" s="9">
        <f>C3*(1+5%)</f>
        <v>8631000</v>
      </c>
      <c r="D5" s="9">
        <f t="shared" ref="D5:H5" si="2">C5*(1+5%)</f>
        <v>9062550</v>
      </c>
      <c r="E5" s="9">
        <f t="shared" si="2"/>
        <v>9515677.5</v>
      </c>
      <c r="F5" s="9">
        <f t="shared" si="2"/>
        <v>9991461.375</v>
      </c>
      <c r="G5" s="9">
        <f t="shared" si="2"/>
        <v>10491034.44375</v>
      </c>
      <c r="H5" s="9">
        <f t="shared" si="2"/>
        <v>11015586.1659375</v>
      </c>
    </row>
    <row r="6" spans="1:8" x14ac:dyDescent="0.25">
      <c r="A6" s="21" t="s">
        <v>207</v>
      </c>
      <c r="B6" s="64">
        <f>B3+B4-B5</f>
        <v>0</v>
      </c>
      <c r="C6" s="64">
        <f t="shared" ref="C6:H6" si="3">C3+C4-C5</f>
        <v>184655460.00000003</v>
      </c>
      <c r="D6" s="64">
        <f t="shared" si="3"/>
        <v>193888233.00000003</v>
      </c>
      <c r="E6" s="64">
        <f t="shared" si="3"/>
        <v>203582644.65000004</v>
      </c>
      <c r="F6" s="64">
        <f t="shared" si="3"/>
        <v>213761776.88250005</v>
      </c>
      <c r="G6" s="64">
        <f t="shared" si="3"/>
        <v>224449865.72662508</v>
      </c>
      <c r="H6" s="64">
        <f t="shared" si="3"/>
        <v>235672359.01295632</v>
      </c>
    </row>
    <row r="7" spans="1:8" x14ac:dyDescent="0.25">
      <c r="A7" t="s">
        <v>160</v>
      </c>
      <c r="B7" s="9">
        <v>0</v>
      </c>
      <c r="C7" s="9">
        <f>MO!W9</f>
        <v>28666239.791999996</v>
      </c>
      <c r="D7" s="9">
        <f t="shared" ref="D7:H7" si="4">C7*(1+0.05)</f>
        <v>30099551.781599998</v>
      </c>
      <c r="E7" s="9">
        <f t="shared" si="4"/>
        <v>31604529.370680001</v>
      </c>
      <c r="F7" s="9">
        <f t="shared" si="4"/>
        <v>33184755.839214001</v>
      </c>
      <c r="G7" s="9">
        <f t="shared" si="4"/>
        <v>34843993.631174706</v>
      </c>
      <c r="H7" s="9">
        <f t="shared" si="4"/>
        <v>36586193.312733442</v>
      </c>
    </row>
    <row r="8" spans="1:8" x14ac:dyDescent="0.25">
      <c r="A8" t="s">
        <v>161</v>
      </c>
      <c r="B8" s="9">
        <v>0</v>
      </c>
      <c r="C8" s="9">
        <f>'COSTOS DE PRODUCCIÓN'!B4</f>
        <v>195948559.16799998</v>
      </c>
      <c r="D8" s="9">
        <f t="shared" ref="D8:H8" si="5">C8*(1+0.05)</f>
        <v>205745987.12639999</v>
      </c>
      <c r="E8" s="9">
        <f t="shared" si="5"/>
        <v>216033286.48272002</v>
      </c>
      <c r="F8" s="9">
        <f t="shared" si="5"/>
        <v>226834950.80685604</v>
      </c>
      <c r="G8" s="9">
        <f t="shared" si="5"/>
        <v>238176698.34719884</v>
      </c>
      <c r="H8" s="9">
        <f t="shared" si="5"/>
        <v>250085533.26455879</v>
      </c>
    </row>
    <row r="9" spans="1:8" x14ac:dyDescent="0.25">
      <c r="A9" s="18" t="s">
        <v>162</v>
      </c>
      <c r="B9" s="71">
        <f>B6+B7+B8</f>
        <v>0</v>
      </c>
      <c r="C9" s="71">
        <f t="shared" ref="C9:H9" si="6">C6+C7+C8</f>
        <v>409270258.96000004</v>
      </c>
      <c r="D9" s="71">
        <f t="shared" si="6"/>
        <v>429733771.90799999</v>
      </c>
      <c r="E9" s="71">
        <f t="shared" si="6"/>
        <v>451220460.50340009</v>
      </c>
      <c r="F9" s="71">
        <f t="shared" si="6"/>
        <v>473781483.52857006</v>
      </c>
      <c r="G9" s="71">
        <f t="shared" si="6"/>
        <v>497470557.70499861</v>
      </c>
      <c r="H9" s="71">
        <f t="shared" si="6"/>
        <v>522344085.59024858</v>
      </c>
    </row>
    <row r="10" spans="1:8" x14ac:dyDescent="0.25">
      <c r="A10" t="s">
        <v>163</v>
      </c>
      <c r="B10" s="9">
        <v>0</v>
      </c>
      <c r="C10" s="9">
        <v>0</v>
      </c>
      <c r="D10" s="9">
        <f t="shared" ref="D10:H10" si="7">C11</f>
        <v>2980369</v>
      </c>
      <c r="E10" s="9">
        <f t="shared" si="7"/>
        <v>3129387.45</v>
      </c>
      <c r="F10" s="9">
        <f t="shared" si="7"/>
        <v>3285856.8225000002</v>
      </c>
      <c r="G10" s="9">
        <f t="shared" si="7"/>
        <v>3450149.6636250005</v>
      </c>
      <c r="H10" s="9">
        <f t="shared" si="7"/>
        <v>3622657.1468062508</v>
      </c>
    </row>
    <row r="11" spans="1:8" x14ac:dyDescent="0.25">
      <c r="A11" t="s">
        <v>214</v>
      </c>
      <c r="B11" s="9"/>
      <c r="C11" s="9">
        <f>2980369</f>
        <v>2980369</v>
      </c>
      <c r="D11" s="9">
        <f t="shared" ref="D11:H11" si="8">C11*(1+0.05)</f>
        <v>3129387.45</v>
      </c>
      <c r="E11" s="9">
        <f t="shared" si="8"/>
        <v>3285856.8225000002</v>
      </c>
      <c r="F11" s="9">
        <f t="shared" si="8"/>
        <v>3450149.6636250005</v>
      </c>
      <c r="G11" s="9">
        <f t="shared" si="8"/>
        <v>3622657.1468062508</v>
      </c>
      <c r="H11" s="9">
        <f t="shared" si="8"/>
        <v>3803790.0041465634</v>
      </c>
    </row>
    <row r="12" spans="1:8" x14ac:dyDescent="0.25">
      <c r="A12" s="18" t="s">
        <v>164</v>
      </c>
      <c r="B12" s="71">
        <f>B9+B10-B11</f>
        <v>0</v>
      </c>
      <c r="C12" s="71">
        <f t="shared" ref="C12:H12" si="9">C9+C10-C11</f>
        <v>406289889.96000004</v>
      </c>
      <c r="D12" s="71">
        <f t="shared" si="9"/>
        <v>429584753.458</v>
      </c>
      <c r="E12" s="71">
        <f t="shared" si="9"/>
        <v>451063991.13090008</v>
      </c>
      <c r="F12" s="71">
        <f t="shared" si="9"/>
        <v>473617190.68744504</v>
      </c>
      <c r="G12" s="71">
        <f t="shared" si="9"/>
        <v>497298050.22181737</v>
      </c>
      <c r="H12" s="71">
        <f t="shared" si="9"/>
        <v>522162952.73290825</v>
      </c>
    </row>
    <row r="13" spans="1:8" x14ac:dyDescent="0.25">
      <c r="A13" t="s">
        <v>165</v>
      </c>
      <c r="B13" s="9">
        <v>0</v>
      </c>
      <c r="C13" s="9">
        <v>0</v>
      </c>
      <c r="D13" s="9">
        <f t="shared" ref="D13:H13" si="10">C14</f>
        <v>8741323.3460413199</v>
      </c>
      <c r="E13" s="9">
        <f t="shared" si="10"/>
        <v>9178389.5133433864</v>
      </c>
      <c r="F13" s="9">
        <f t="shared" si="10"/>
        <v>9637308.9890105557</v>
      </c>
      <c r="G13" s="9">
        <f t="shared" si="10"/>
        <v>10119174.438461084</v>
      </c>
      <c r="H13" s="9">
        <f t="shared" si="10"/>
        <v>10625133.160384139</v>
      </c>
    </row>
    <row r="14" spans="1:8" x14ac:dyDescent="0.25">
      <c r="A14" t="s">
        <v>215</v>
      </c>
      <c r="B14" s="9">
        <v>0</v>
      </c>
      <c r="C14" s="9">
        <f>8741323.34604132</f>
        <v>8741323.3460413199</v>
      </c>
      <c r="D14" s="9">
        <f t="shared" ref="D14:H14" si="11">C14*(1+0.05)</f>
        <v>9178389.5133433864</v>
      </c>
      <c r="E14" s="9">
        <f t="shared" si="11"/>
        <v>9637308.9890105557</v>
      </c>
      <c r="F14" s="9">
        <f t="shared" si="11"/>
        <v>10119174.438461084</v>
      </c>
      <c r="G14" s="9">
        <f t="shared" si="11"/>
        <v>10625133.160384139</v>
      </c>
      <c r="H14" s="9">
        <f t="shared" si="11"/>
        <v>11156389.818403346</v>
      </c>
    </row>
    <row r="15" spans="1:8" x14ac:dyDescent="0.25">
      <c r="A15" s="21" t="s">
        <v>166</v>
      </c>
      <c r="B15" s="64">
        <f>B12+B13-B14</f>
        <v>0</v>
      </c>
      <c r="C15" s="64">
        <f t="shared" ref="C15:H15" si="12">C12+C13-C14</f>
        <v>397548566.61395872</v>
      </c>
      <c r="D15" s="64">
        <f t="shared" si="12"/>
        <v>429147687.29069793</v>
      </c>
      <c r="E15" s="64">
        <f t="shared" si="12"/>
        <v>450605071.65523291</v>
      </c>
      <c r="F15" s="64">
        <f t="shared" si="12"/>
        <v>473135325.23799455</v>
      </c>
      <c r="G15" s="64">
        <f t="shared" si="12"/>
        <v>496792091.49989432</v>
      </c>
      <c r="H15" s="64">
        <f t="shared" si="12"/>
        <v>521631696.074889</v>
      </c>
    </row>
    <row r="17" spans="2:8" x14ac:dyDescent="0.25">
      <c r="B17" s="68"/>
      <c r="C17" s="68"/>
      <c r="D17" s="68"/>
      <c r="E17" s="68"/>
      <c r="F17" s="68"/>
      <c r="G17" s="68"/>
      <c r="H17" s="69"/>
    </row>
    <row r="18" spans="2:8" x14ac:dyDescent="0.25">
      <c r="C18" s="104"/>
    </row>
    <row r="19" spans="2:8" x14ac:dyDescent="0.25">
      <c r="B19" s="65"/>
      <c r="C19" s="16"/>
    </row>
  </sheetData>
  <pageMargins left="0.7" right="0.7" top="0.75" bottom="0.75" header="0.3" footer="0.3"/>
  <ignoredErrors>
    <ignoredError sqref="D9:H9" formula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053C-EFC4-4CF6-94A9-DD9DDEE6C7CF}">
  <sheetPr>
    <tabColor rgb="FF7030A0"/>
  </sheetPr>
  <dimension ref="A1:K34"/>
  <sheetViews>
    <sheetView tabSelected="1" zoomScaleNormal="100" workbookViewId="0">
      <selection activeCell="H28" sqref="B15:H28"/>
    </sheetView>
  </sheetViews>
  <sheetFormatPr baseColWidth="10" defaultRowHeight="15" x14ac:dyDescent="0.25"/>
  <cols>
    <col min="1" max="1" width="5.7109375" customWidth="1"/>
    <col min="2" max="2" width="34.7109375" bestFit="1" customWidth="1"/>
    <col min="3" max="3" width="16.85546875" style="16" hidden="1" customWidth="1"/>
    <col min="4" max="8" width="16.85546875" style="16" customWidth="1"/>
  </cols>
  <sheetData>
    <row r="1" spans="1:11" x14ac:dyDescent="0.25">
      <c r="B1" s="18" t="s">
        <v>40</v>
      </c>
      <c r="C1" s="18" t="s">
        <v>41</v>
      </c>
      <c r="D1" s="18" t="s">
        <v>42</v>
      </c>
      <c r="E1" s="18" t="s">
        <v>43</v>
      </c>
      <c r="F1" s="18" t="s">
        <v>177</v>
      </c>
      <c r="G1" s="18" t="s">
        <v>178</v>
      </c>
      <c r="H1" s="18" t="s">
        <v>179</v>
      </c>
    </row>
    <row r="2" spans="1:11" x14ac:dyDescent="0.25">
      <c r="B2" s="18" t="s">
        <v>168</v>
      </c>
      <c r="C2" s="18"/>
      <c r="D2" s="18"/>
      <c r="E2" s="18"/>
      <c r="F2" s="18"/>
      <c r="G2" s="18"/>
      <c r="H2" s="18"/>
    </row>
    <row r="3" spans="1:11" x14ac:dyDescent="0.25">
      <c r="B3" s="18" t="s">
        <v>51</v>
      </c>
      <c r="C3" s="18" t="s">
        <v>167</v>
      </c>
      <c r="D3" s="18" t="s">
        <v>152</v>
      </c>
      <c r="E3" s="18" t="s">
        <v>153</v>
      </c>
      <c r="F3" s="18" t="s">
        <v>154</v>
      </c>
      <c r="G3" s="18" t="s">
        <v>155</v>
      </c>
      <c r="H3" s="18" t="s">
        <v>156</v>
      </c>
    </row>
    <row r="4" spans="1:11" x14ac:dyDescent="0.25">
      <c r="B4" s="18" t="s">
        <v>169</v>
      </c>
    </row>
    <row r="5" spans="1:11" x14ac:dyDescent="0.25">
      <c r="B5" t="s">
        <v>170</v>
      </c>
      <c r="C5" s="9">
        <v>0</v>
      </c>
      <c r="D5" s="9">
        <f>Tabla13[[#Totals],[Precio total]]*(1+0.05)</f>
        <v>317631300</v>
      </c>
      <c r="E5" s="9">
        <f t="shared" ref="E5:H5" si="0">D5*(1+0.05)</f>
        <v>333512865</v>
      </c>
      <c r="F5" s="9">
        <f t="shared" si="0"/>
        <v>350188508.25</v>
      </c>
      <c r="G5" s="9">
        <f t="shared" si="0"/>
        <v>367697933.66250002</v>
      </c>
      <c r="H5" s="9">
        <f t="shared" si="0"/>
        <v>386082830.34562504</v>
      </c>
    </row>
    <row r="6" spans="1:11" x14ac:dyDescent="0.25">
      <c r="B6" t="s">
        <v>29</v>
      </c>
      <c r="C6" s="9">
        <f>ECPV!B15</f>
        <v>0</v>
      </c>
      <c r="D6" s="9">
        <f>ECPV!C15</f>
        <v>397548566.61395872</v>
      </c>
      <c r="E6" s="9">
        <f>ECPV!D15</f>
        <v>429147687.29069793</v>
      </c>
      <c r="F6" s="9">
        <f>ECPV!E15</f>
        <v>450605071.65523291</v>
      </c>
      <c r="G6" s="9">
        <f>ECPV!F15</f>
        <v>473135325.23799455</v>
      </c>
      <c r="H6" s="9">
        <f>ECPV!G15</f>
        <v>496792091.49989432</v>
      </c>
    </row>
    <row r="7" spans="1:11" x14ac:dyDescent="0.25">
      <c r="B7" s="21" t="s">
        <v>171</v>
      </c>
      <c r="C7" s="64">
        <f>C5-C6</f>
        <v>0</v>
      </c>
      <c r="D7" s="64">
        <f t="shared" ref="D7:H7" si="1">D5-D6</f>
        <v>-79917266.613958716</v>
      </c>
      <c r="E7" s="64">
        <f t="shared" si="1"/>
        <v>-95634822.290697932</v>
      </c>
      <c r="F7" s="64">
        <f t="shared" si="1"/>
        <v>-100416563.40523291</v>
      </c>
      <c r="G7" s="64">
        <f t="shared" si="1"/>
        <v>-105437391.57549453</v>
      </c>
      <c r="H7" s="64">
        <f t="shared" si="1"/>
        <v>-110709261.15426928</v>
      </c>
    </row>
    <row r="8" spans="1:11" x14ac:dyDescent="0.25">
      <c r="B8" s="18" t="s">
        <v>172</v>
      </c>
      <c r="C8" s="9"/>
      <c r="D8" s="9"/>
      <c r="E8" s="9"/>
      <c r="F8" s="9"/>
      <c r="G8" s="9"/>
      <c r="H8" s="9"/>
    </row>
    <row r="9" spans="1:11" x14ac:dyDescent="0.25">
      <c r="B9" t="s">
        <v>173</v>
      </c>
      <c r="C9" s="9">
        <v>0</v>
      </c>
      <c r="D9" s="9">
        <f>'ADM Y VENTAS'!B11*(1+0.05)</f>
        <v>35120522.850000001</v>
      </c>
      <c r="E9" s="9">
        <f t="shared" ref="E9:H9" si="2">D9*(1+0.05)</f>
        <v>36876548.9925</v>
      </c>
      <c r="F9" s="9">
        <f t="shared" si="2"/>
        <v>38720376.442125</v>
      </c>
      <c r="G9" s="9">
        <f t="shared" si="2"/>
        <v>40656395.26423125</v>
      </c>
      <c r="H9" s="9">
        <f t="shared" si="2"/>
        <v>42689215.027442813</v>
      </c>
    </row>
    <row r="10" spans="1:11" x14ac:dyDescent="0.25">
      <c r="B10" s="21" t="s">
        <v>174</v>
      </c>
      <c r="C10" s="64">
        <f>C7-C9</f>
        <v>0</v>
      </c>
      <c r="D10" s="64">
        <f t="shared" ref="D10:H10" si="3">D7-D9</f>
        <v>-115037789.46395871</v>
      </c>
      <c r="E10" s="64">
        <f t="shared" si="3"/>
        <v>-132511371.28319794</v>
      </c>
      <c r="F10" s="64">
        <f t="shared" si="3"/>
        <v>-139136939.8473579</v>
      </c>
      <c r="G10" s="64">
        <f t="shared" si="3"/>
        <v>-146093786.83972579</v>
      </c>
      <c r="H10" s="64">
        <f t="shared" si="3"/>
        <v>-153398476.18171209</v>
      </c>
    </row>
    <row r="11" spans="1:11" x14ac:dyDescent="0.25">
      <c r="B11" s="21" t="s">
        <v>175</v>
      </c>
      <c r="C11" s="64">
        <f>C10*25%</f>
        <v>0</v>
      </c>
      <c r="D11" s="64">
        <f t="shared" ref="D11:H11" si="4">D10*25%</f>
        <v>-28759447.365989678</v>
      </c>
      <c r="E11" s="64">
        <f t="shared" si="4"/>
        <v>-33127842.820799485</v>
      </c>
      <c r="F11" s="64">
        <f t="shared" si="4"/>
        <v>-34784234.961839475</v>
      </c>
      <c r="G11" s="64">
        <f t="shared" si="4"/>
        <v>-36523446.709931448</v>
      </c>
      <c r="H11" s="64">
        <f t="shared" si="4"/>
        <v>-38349619.045428023</v>
      </c>
    </row>
    <row r="12" spans="1:11" x14ac:dyDescent="0.25">
      <c r="B12" s="21" t="s">
        <v>176</v>
      </c>
      <c r="C12" s="64">
        <f>C10-C11</f>
        <v>0</v>
      </c>
      <c r="D12" s="64">
        <f t="shared" ref="D12:H12" si="5">D10-D11</f>
        <v>-86278342.097969025</v>
      </c>
      <c r="E12" s="64">
        <f t="shared" si="5"/>
        <v>-99383528.462398455</v>
      </c>
      <c r="F12" s="64">
        <f t="shared" si="5"/>
        <v>-104352704.88551843</v>
      </c>
      <c r="G12" s="64">
        <f t="shared" si="5"/>
        <v>-109570340.12979434</v>
      </c>
      <c r="H12" s="64">
        <f t="shared" si="5"/>
        <v>-115048857.13628407</v>
      </c>
    </row>
    <row r="13" spans="1:11" x14ac:dyDescent="0.25">
      <c r="B13" s="21"/>
      <c r="C13" s="22"/>
      <c r="D13" s="22">
        <v>16940</v>
      </c>
      <c r="E13" s="22"/>
      <c r="F13" s="22"/>
      <c r="G13" s="22"/>
      <c r="H13" s="22"/>
      <c r="K13">
        <v>33395</v>
      </c>
    </row>
    <row r="14" spans="1:11" x14ac:dyDescent="0.25">
      <c r="B14" s="158" t="s">
        <v>226</v>
      </c>
      <c r="C14" s="158"/>
      <c r="D14" s="158"/>
      <c r="K14">
        <v>8349</v>
      </c>
    </row>
    <row r="15" spans="1:11" x14ac:dyDescent="0.25">
      <c r="A15" s="156" t="s">
        <v>216</v>
      </c>
      <c r="B15" s="163" t="s">
        <v>217</v>
      </c>
      <c r="C15" s="164" t="s">
        <v>256</v>
      </c>
      <c r="D15" s="164" t="s">
        <v>74</v>
      </c>
      <c r="E15" s="164" t="s">
        <v>75</v>
      </c>
      <c r="F15" s="164" t="s">
        <v>76</v>
      </c>
      <c r="G15" s="164" t="s">
        <v>77</v>
      </c>
      <c r="H15" s="164" t="s">
        <v>78</v>
      </c>
    </row>
    <row r="16" spans="1:11" x14ac:dyDescent="0.25">
      <c r="A16" s="157"/>
      <c r="B16" s="161" t="s">
        <v>218</v>
      </c>
      <c r="C16" s="162">
        <v>0</v>
      </c>
      <c r="D16" s="162">
        <f>+D13*27000</f>
        <v>457380000</v>
      </c>
      <c r="E16" s="162">
        <f t="shared" ref="E16:H16" si="6">+D16*1.05</f>
        <v>480249000</v>
      </c>
      <c r="F16" s="162">
        <f t="shared" si="6"/>
        <v>504261450</v>
      </c>
      <c r="G16" s="162">
        <f t="shared" si="6"/>
        <v>529474522.5</v>
      </c>
      <c r="H16" s="162">
        <f t="shared" si="6"/>
        <v>555948248.625</v>
      </c>
    </row>
    <row r="17" spans="1:8" x14ac:dyDescent="0.25">
      <c r="A17" s="72" t="s">
        <v>219</v>
      </c>
      <c r="B17" s="73" t="s">
        <v>249</v>
      </c>
      <c r="C17" s="74">
        <f>+ECPV!B15</f>
        <v>0</v>
      </c>
      <c r="D17" s="74">
        <f>+ECPV!C15</f>
        <v>397548566.61395872</v>
      </c>
      <c r="E17" s="74">
        <f>+ECPV!D15</f>
        <v>429147687.29069793</v>
      </c>
      <c r="F17" s="74">
        <f>+ECPV!E15</f>
        <v>450605071.65523291</v>
      </c>
      <c r="G17" s="74">
        <f>+ECPV!F15</f>
        <v>473135325.23799455</v>
      </c>
      <c r="H17" s="74">
        <f>+ECPV!G15</f>
        <v>496792091.49989432</v>
      </c>
    </row>
    <row r="18" spans="1:8" x14ac:dyDescent="0.25">
      <c r="A18" s="72" t="s">
        <v>220</v>
      </c>
      <c r="B18" s="161" t="s">
        <v>221</v>
      </c>
      <c r="C18" s="162">
        <f>+C16-C17</f>
        <v>0</v>
      </c>
      <c r="D18" s="162">
        <f t="shared" ref="D18:H18" si="7">+D16-D17</f>
        <v>59831433.386041284</v>
      </c>
      <c r="E18" s="162">
        <f t="shared" si="7"/>
        <v>51101312.709302068</v>
      </c>
      <c r="F18" s="162">
        <f t="shared" si="7"/>
        <v>53656378.344767094</v>
      </c>
      <c r="G18" s="162">
        <f t="shared" si="7"/>
        <v>56339197.262005448</v>
      </c>
      <c r="H18" s="162">
        <f t="shared" si="7"/>
        <v>59156157.125105679</v>
      </c>
    </row>
    <row r="19" spans="1:8" x14ac:dyDescent="0.25">
      <c r="A19" s="75" t="s">
        <v>219</v>
      </c>
      <c r="B19" s="165" t="s">
        <v>222</v>
      </c>
      <c r="C19" s="91">
        <f>+(SUM(C20:C23))</f>
        <v>0</v>
      </c>
      <c r="D19" s="91">
        <f t="shared" ref="D19:H19" si="8">+(SUM(D20:D23))</f>
        <v>34165617</v>
      </c>
      <c r="E19" s="91">
        <f t="shared" si="8"/>
        <v>34866492</v>
      </c>
      <c r="F19" s="91">
        <f t="shared" si="8"/>
        <v>35602410.75</v>
      </c>
      <c r="G19" s="91">
        <f t="shared" si="8"/>
        <v>36375125.4375</v>
      </c>
      <c r="H19" s="91">
        <f t="shared" si="8"/>
        <v>37186475.859375</v>
      </c>
    </row>
    <row r="20" spans="1:8" x14ac:dyDescent="0.25">
      <c r="A20" s="72"/>
      <c r="B20" s="73" t="s">
        <v>248</v>
      </c>
      <c r="C20" s="74">
        <v>0</v>
      </c>
      <c r="D20" s="74">
        <f>10000000*1.05</f>
        <v>10500000</v>
      </c>
      <c r="E20" s="74">
        <f t="shared" ref="E20:H20" si="9">+D20*1.05</f>
        <v>11025000</v>
      </c>
      <c r="F20" s="74">
        <f t="shared" si="9"/>
        <v>11576250</v>
      </c>
      <c r="G20" s="74">
        <f t="shared" si="9"/>
        <v>12155062.5</v>
      </c>
      <c r="H20" s="74">
        <f t="shared" si="9"/>
        <v>12762815.625</v>
      </c>
    </row>
    <row r="21" spans="1:8" x14ac:dyDescent="0.25">
      <c r="A21" s="72"/>
      <c r="B21" s="73" t="s">
        <v>250</v>
      </c>
      <c r="C21" s="74">
        <v>0</v>
      </c>
      <c r="D21" s="74">
        <f>+('ADM Y VENTAS'!B9+50000)*1.05</f>
        <v>3517500</v>
      </c>
      <c r="E21" s="74">
        <f t="shared" ref="E21:H21" si="10">+D21*1.05</f>
        <v>3693375</v>
      </c>
      <c r="F21" s="74">
        <f t="shared" si="10"/>
        <v>3878043.75</v>
      </c>
      <c r="G21" s="74">
        <f t="shared" si="10"/>
        <v>4071945.9375</v>
      </c>
      <c r="H21" s="74">
        <f t="shared" si="10"/>
        <v>4275543.234375</v>
      </c>
    </row>
    <row r="22" spans="1:8" x14ac:dyDescent="0.25">
      <c r="A22" s="72"/>
      <c r="B22" s="73" t="s">
        <v>251</v>
      </c>
      <c r="C22" s="74">
        <v>0</v>
      </c>
      <c r="D22" s="74">
        <f>+'Depre - Dif'!F32</f>
        <v>7773197</v>
      </c>
      <c r="E22" s="74">
        <f t="shared" ref="E22:H23" si="11">+D22</f>
        <v>7773197</v>
      </c>
      <c r="F22" s="74">
        <f t="shared" si="11"/>
        <v>7773197</v>
      </c>
      <c r="G22" s="74">
        <f t="shared" si="11"/>
        <v>7773197</v>
      </c>
      <c r="H22" s="74">
        <f t="shared" si="11"/>
        <v>7773197</v>
      </c>
    </row>
    <row r="23" spans="1:8" x14ac:dyDescent="0.25">
      <c r="A23" s="72"/>
      <c r="B23" s="73" t="s">
        <v>296</v>
      </c>
      <c r="C23" s="74">
        <v>0</v>
      </c>
      <c r="D23" s="74">
        <f>+('INVERSIÓN INICIAL'!B33)/5</f>
        <v>12374920</v>
      </c>
      <c r="E23" s="74">
        <f>+D23</f>
        <v>12374920</v>
      </c>
      <c r="F23" s="74">
        <f t="shared" si="11"/>
        <v>12374920</v>
      </c>
      <c r="G23" s="74">
        <f t="shared" ref="G23:H23" si="12">+F23</f>
        <v>12374920</v>
      </c>
      <c r="H23" s="74">
        <f t="shared" si="12"/>
        <v>12374920</v>
      </c>
    </row>
    <row r="24" spans="1:8" x14ac:dyDescent="0.25">
      <c r="A24" s="72" t="s">
        <v>220</v>
      </c>
      <c r="B24" s="161" t="s">
        <v>223</v>
      </c>
      <c r="C24" s="162">
        <f t="shared" ref="C24:H24" si="13">+C18-C19</f>
        <v>0</v>
      </c>
      <c r="D24" s="162">
        <f>+D18-D19</f>
        <v>25665816.386041284</v>
      </c>
      <c r="E24" s="162">
        <f t="shared" si="13"/>
        <v>16234820.709302068</v>
      </c>
      <c r="F24" s="162">
        <f t="shared" si="13"/>
        <v>18053967.594767094</v>
      </c>
      <c r="G24" s="162">
        <f t="shared" si="13"/>
        <v>19964071.824505448</v>
      </c>
      <c r="H24" s="162">
        <f t="shared" si="13"/>
        <v>21969681.265730679</v>
      </c>
    </row>
    <row r="25" spans="1:8" x14ac:dyDescent="0.25">
      <c r="A25" s="72" t="s">
        <v>219</v>
      </c>
      <c r="B25" s="73" t="s">
        <v>287</v>
      </c>
      <c r="C25" s="74">
        <v>0</v>
      </c>
      <c r="D25" s="76">
        <f>+FINANCIAMIENTO!J18</f>
        <v>7882478.2822427647</v>
      </c>
      <c r="E25" s="76">
        <f>+FINANCIAMIENTO!J19</f>
        <v>2894354.7668032823</v>
      </c>
      <c r="F25" s="76">
        <v>0</v>
      </c>
      <c r="G25" s="76">
        <v>0</v>
      </c>
      <c r="H25" s="76">
        <v>0</v>
      </c>
    </row>
    <row r="26" spans="1:8" x14ac:dyDescent="0.25">
      <c r="A26" s="72" t="s">
        <v>220</v>
      </c>
      <c r="B26" s="161" t="s">
        <v>224</v>
      </c>
      <c r="C26" s="162">
        <f>+C24-C25</f>
        <v>0</v>
      </c>
      <c r="D26" s="162">
        <f t="shared" ref="D26:G26" si="14">+D24-D25</f>
        <v>17783338.10379852</v>
      </c>
      <c r="E26" s="162">
        <f t="shared" si="14"/>
        <v>13340465.942498785</v>
      </c>
      <c r="F26" s="162">
        <f t="shared" si="14"/>
        <v>18053967.594767094</v>
      </c>
      <c r="G26" s="162">
        <f t="shared" si="14"/>
        <v>19964071.824505448</v>
      </c>
      <c r="H26" s="162">
        <f t="shared" ref="H26" si="15">+H24-H25</f>
        <v>21969681.265730679</v>
      </c>
    </row>
    <row r="27" spans="1:8" x14ac:dyDescent="0.25">
      <c r="A27" s="72" t="s">
        <v>219</v>
      </c>
      <c r="B27" s="73" t="s">
        <v>297</v>
      </c>
      <c r="C27" s="74">
        <f>+C26*0.19</f>
        <v>0</v>
      </c>
      <c r="D27" s="74">
        <f>+D26*0.35</f>
        <v>6224168.3363294816</v>
      </c>
      <c r="E27" s="74">
        <f>+E26*0.35</f>
        <v>4669163.0798745742</v>
      </c>
      <c r="F27" s="74">
        <f>+F26*0.35</f>
        <v>6318888.6581684826</v>
      </c>
      <c r="G27" s="74">
        <f>+G26*0.35</f>
        <v>6987425.1385769062</v>
      </c>
      <c r="H27" s="74">
        <f>+H26*0.35</f>
        <v>7689388.4430057369</v>
      </c>
    </row>
    <row r="28" spans="1:8" x14ac:dyDescent="0.25">
      <c r="A28" s="72" t="s">
        <v>220</v>
      </c>
      <c r="B28" s="166" t="s">
        <v>225</v>
      </c>
      <c r="C28" s="167">
        <f>+C26-C27</f>
        <v>0</v>
      </c>
      <c r="D28" s="167">
        <f>+D26-D27</f>
        <v>11559169.767469037</v>
      </c>
      <c r="E28" s="167">
        <f t="shared" ref="E28:G28" si="16">+E26-E27</f>
        <v>8671302.8626242094</v>
      </c>
      <c r="F28" s="167">
        <f t="shared" si="16"/>
        <v>11735078.93659861</v>
      </c>
      <c r="G28" s="167">
        <f t="shared" si="16"/>
        <v>12976646.685928542</v>
      </c>
      <c r="H28" s="167">
        <f t="shared" ref="H28" si="17">+H26-H27</f>
        <v>14280292.822724942</v>
      </c>
    </row>
    <row r="31" spans="1:8" x14ac:dyDescent="0.25">
      <c r="C31"/>
    </row>
    <row r="32" spans="1:8" x14ac:dyDescent="0.25">
      <c r="B32" s="7" t="s">
        <v>307</v>
      </c>
      <c r="C32" s="112"/>
      <c r="D32" s="112">
        <f>+D13</f>
        <v>16940</v>
      </c>
    </row>
    <row r="33" spans="2:4" x14ac:dyDescent="0.25">
      <c r="B33" s="7" t="s">
        <v>308</v>
      </c>
      <c r="C33" s="112"/>
      <c r="D33" s="112">
        <v>27000</v>
      </c>
    </row>
    <row r="34" spans="2:4" x14ac:dyDescent="0.25">
      <c r="B34" s="7" t="s">
        <v>309</v>
      </c>
      <c r="C34" s="112"/>
      <c r="D34" s="112">
        <f>+D32*D33</f>
        <v>457380000</v>
      </c>
    </row>
  </sheetData>
  <mergeCells count="2">
    <mergeCell ref="A15:A16"/>
    <mergeCell ref="B14:D14"/>
  </mergeCells>
  <phoneticPr fontId="16" type="noConversion"/>
  <conditionalFormatting sqref="C18:H18 C24:H24 C26:H26 C28:H28">
    <cfRule type="cellIs" dxfId="0" priority="1" operator="lessThan">
      <formula>0</formula>
    </cfRule>
  </conditionalFormatting>
  <pageMargins left="0.7" right="0.7" top="0.75" bottom="0.75" header="0.3" footer="0.3"/>
  <ignoredErrors>
    <ignoredError sqref="C27" formula="1"/>
  </ignoredErrors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E1B9-0888-4E61-9C9D-DABF1EA96F6F}">
  <sheetPr>
    <tabColor rgb="FF7030A0"/>
  </sheetPr>
  <dimension ref="A1:I36"/>
  <sheetViews>
    <sheetView topLeftCell="A11" zoomScaleNormal="100" workbookViewId="0">
      <selection activeCell="J44" sqref="J43:J44"/>
    </sheetView>
  </sheetViews>
  <sheetFormatPr baseColWidth="10" defaultRowHeight="15" x14ac:dyDescent="0.25"/>
  <cols>
    <col min="1" max="1" width="32.85546875" bestFit="1" customWidth="1"/>
    <col min="2" max="2" width="14.5703125" bestFit="1" customWidth="1"/>
    <col min="3" max="7" width="16.140625" bestFit="1" customWidth="1"/>
    <col min="8" max="8" width="16.140625" hidden="1" customWidth="1"/>
  </cols>
  <sheetData>
    <row r="1" spans="1:8" x14ac:dyDescent="0.25">
      <c r="A1" t="s">
        <v>40</v>
      </c>
      <c r="B1" s="65" t="s">
        <v>257</v>
      </c>
      <c r="C1" s="65" t="s">
        <v>152</v>
      </c>
      <c r="D1" s="65" t="s">
        <v>153</v>
      </c>
      <c r="E1" s="65" t="s">
        <v>154</v>
      </c>
      <c r="F1" s="65" t="s">
        <v>155</v>
      </c>
      <c r="G1" s="65" t="s">
        <v>156</v>
      </c>
      <c r="H1" s="65" t="s">
        <v>157</v>
      </c>
    </row>
    <row r="2" spans="1:8" x14ac:dyDescent="0.25">
      <c r="A2" t="s">
        <v>180</v>
      </c>
    </row>
    <row r="3" spans="1:8" x14ac:dyDescent="0.25">
      <c r="A3" s="65" t="s">
        <v>181</v>
      </c>
      <c r="B3" s="65"/>
      <c r="C3" s="65"/>
      <c r="D3" s="65"/>
      <c r="E3" s="65"/>
      <c r="F3" s="65"/>
      <c r="G3" s="65"/>
      <c r="H3" s="65"/>
    </row>
    <row r="4" spans="1:8" x14ac:dyDescent="0.25">
      <c r="A4" s="65" t="s">
        <v>182</v>
      </c>
      <c r="B4" s="65">
        <f>+'INVERSIÓN INICIAL'!B17+'INVERSIÓN INICIAL'!B37-B5</f>
        <v>80642593.390000001</v>
      </c>
      <c r="C4" s="65">
        <f>+FC!D25</f>
        <v>55300549.569147445</v>
      </c>
      <c r="D4" s="65">
        <f>+FC!E25</f>
        <v>30737738.056749821</v>
      </c>
      <c r="E4" s="65">
        <f>+FC!F25</f>
        <v>61688355.895181261</v>
      </c>
      <c r="F4" s="65">
        <f>+FC!G25</f>
        <v>93833912.578034282</v>
      </c>
      <c r="G4" s="65">
        <f>+FC!H25</f>
        <v>127234155.04752991</v>
      </c>
      <c r="H4" s="65" t="e">
        <f>+FC!#REF!</f>
        <v>#REF!</v>
      </c>
    </row>
    <row r="5" spans="1:8" x14ac:dyDescent="0.25">
      <c r="A5" s="65" t="s">
        <v>258</v>
      </c>
      <c r="B5" s="65">
        <f>+ECPV!C3</f>
        <v>8220000</v>
      </c>
      <c r="C5" s="65">
        <f>+ECPV!C5</f>
        <v>8631000</v>
      </c>
      <c r="D5" s="65">
        <f>+ECPV!D5</f>
        <v>9062550</v>
      </c>
      <c r="E5" s="65">
        <f>+ECPV!E5</f>
        <v>9515677.5</v>
      </c>
      <c r="F5" s="65">
        <f>+ECPV!F5</f>
        <v>9991461.375</v>
      </c>
      <c r="G5" s="65">
        <f>+ECPV!G5</f>
        <v>10491034.44375</v>
      </c>
      <c r="H5" s="65">
        <f>+ECPV!H5</f>
        <v>11015586.1659375</v>
      </c>
    </row>
    <row r="6" spans="1:8" x14ac:dyDescent="0.25">
      <c r="A6" s="65" t="s">
        <v>259</v>
      </c>
      <c r="B6" s="65">
        <f>+ECPV!B11</f>
        <v>0</v>
      </c>
      <c r="C6" s="65">
        <f>+ECPV!C11</f>
        <v>2980369</v>
      </c>
      <c r="D6" s="65">
        <f>+ECPV!D11</f>
        <v>3129387.45</v>
      </c>
      <c r="E6" s="65">
        <f>+ECPV!E11</f>
        <v>3285856.8225000002</v>
      </c>
      <c r="F6" s="65">
        <f>+ECPV!F11</f>
        <v>3450149.6636250005</v>
      </c>
      <c r="G6" s="65">
        <f>+ECPV!G11</f>
        <v>3622657.1468062508</v>
      </c>
      <c r="H6" s="65">
        <f>+ECPV!H11</f>
        <v>3803790.0041465634</v>
      </c>
    </row>
    <row r="7" spans="1:8" x14ac:dyDescent="0.25">
      <c r="A7" s="65" t="s">
        <v>260</v>
      </c>
      <c r="B7" s="65">
        <f>+ECPV!B14</f>
        <v>0</v>
      </c>
      <c r="C7" s="65">
        <f>+ECPV!C14</f>
        <v>8741323.3460413199</v>
      </c>
      <c r="D7" s="65">
        <f>+ECPV!D14</f>
        <v>9178389.5133433864</v>
      </c>
      <c r="E7" s="65">
        <f>+ECPV!E14</f>
        <v>9637308.9890105557</v>
      </c>
      <c r="F7" s="65">
        <f>+ECPV!F14</f>
        <v>10119174.438461084</v>
      </c>
      <c r="G7" s="65">
        <f>+ECPV!G14</f>
        <v>10625133.160384139</v>
      </c>
      <c r="H7" s="65">
        <f>+ECPV!H14</f>
        <v>11156389.818403346</v>
      </c>
    </row>
    <row r="8" spans="1:8" x14ac:dyDescent="0.25">
      <c r="A8" s="66" t="s">
        <v>183</v>
      </c>
      <c r="B8" s="66">
        <f t="shared" ref="B8:H8" si="0">SUM(B4:B7)</f>
        <v>88862593.390000001</v>
      </c>
      <c r="C8" s="66">
        <f t="shared" si="0"/>
        <v>75653241.91518876</v>
      </c>
      <c r="D8" s="66">
        <f t="shared" si="0"/>
        <v>52108065.02009321</v>
      </c>
      <c r="E8" s="66">
        <f t="shared" si="0"/>
        <v>84127199.206691831</v>
      </c>
      <c r="F8" s="66">
        <f t="shared" si="0"/>
        <v>117394698.05512036</v>
      </c>
      <c r="G8" s="66">
        <f t="shared" si="0"/>
        <v>151972979.79847029</v>
      </c>
      <c r="H8" s="66" t="e">
        <f t="shared" si="0"/>
        <v>#REF!</v>
      </c>
    </row>
    <row r="9" spans="1:8" x14ac:dyDescent="0.25">
      <c r="A9" s="65"/>
      <c r="B9" s="65"/>
      <c r="C9" s="65"/>
      <c r="D9" s="65"/>
      <c r="E9" s="65"/>
      <c r="F9" s="65"/>
      <c r="G9" s="65"/>
      <c r="H9" s="65"/>
    </row>
    <row r="10" spans="1:8" x14ac:dyDescent="0.25">
      <c r="A10" s="67" t="s">
        <v>70</v>
      </c>
      <c r="B10" s="65"/>
      <c r="C10" s="65"/>
      <c r="D10" s="65"/>
      <c r="E10" s="65"/>
      <c r="F10" s="65"/>
      <c r="G10" s="65"/>
      <c r="H10" s="65"/>
    </row>
    <row r="11" spans="1:8" x14ac:dyDescent="0.25">
      <c r="A11" s="65"/>
      <c r="B11" s="65"/>
      <c r="C11" s="65"/>
      <c r="D11" s="65"/>
      <c r="E11" s="65"/>
      <c r="F11" s="65"/>
      <c r="G11" s="65"/>
      <c r="H11" s="65"/>
    </row>
    <row r="12" spans="1:8" x14ac:dyDescent="0.25">
      <c r="A12" s="65" t="s">
        <v>70</v>
      </c>
      <c r="B12" s="65">
        <f>'Depre - Dif'!C32</f>
        <v>71251640</v>
      </c>
      <c r="C12" s="65">
        <f>+Tabla16[[#This Row],[ -   ]]</f>
        <v>71251640</v>
      </c>
      <c r="D12" s="65">
        <f>+Tabla16[[#This Row],[ -   ]]</f>
        <v>71251640</v>
      </c>
      <c r="E12" s="65">
        <f>+Tabla16[[#This Row],[ -   ]]</f>
        <v>71251640</v>
      </c>
      <c r="F12" s="65">
        <f>+Tabla16[[#This Row],[ -   ]]</f>
        <v>71251640</v>
      </c>
      <c r="G12" s="65">
        <f>+Tabla16[[#This Row],[ -   ]]</f>
        <v>71251640</v>
      </c>
      <c r="H12" s="65">
        <f>+Tabla16[[#This Row],[ -   ]]</f>
        <v>71251640</v>
      </c>
    </row>
    <row r="13" spans="1:8" x14ac:dyDescent="0.25">
      <c r="A13" s="65" t="s">
        <v>184</v>
      </c>
      <c r="B13" s="65">
        <v>0</v>
      </c>
      <c r="C13" s="65">
        <f>+'Depre - Dif'!F32</f>
        <v>7773197</v>
      </c>
      <c r="D13" s="65">
        <f>+Tabla16[[#This Row],[AÑO 1]]+'Depre - Dif'!$F$32</f>
        <v>15546394</v>
      </c>
      <c r="E13" s="65">
        <f>+Tabla16[[#This Row],[AÑO 2]]+'Depre - Dif'!$F$32</f>
        <v>23319591</v>
      </c>
      <c r="F13" s="65">
        <f>+Tabla16[[#This Row],[AÑO 3]]+'Depre - Dif'!$F$32</f>
        <v>31092788</v>
      </c>
      <c r="G13" s="65">
        <f>+Tabla16[[#This Row],[AÑO 4]]+'Depre - Dif'!$F$32</f>
        <v>38865985</v>
      </c>
      <c r="H13" s="65">
        <f>+Tabla16[[#This Row],[AÑO 5]]+'Depre - Dif'!$F$32</f>
        <v>46639182</v>
      </c>
    </row>
    <row r="14" spans="1:8" x14ac:dyDescent="0.25">
      <c r="A14" s="65" t="s">
        <v>185</v>
      </c>
      <c r="B14" s="65">
        <f>B12-B13</f>
        <v>71251640</v>
      </c>
      <c r="C14" s="65">
        <f t="shared" ref="C14:H14" si="1">C12-C13</f>
        <v>63478443</v>
      </c>
      <c r="D14" s="65">
        <f t="shared" si="1"/>
        <v>55705246</v>
      </c>
      <c r="E14" s="65">
        <f t="shared" si="1"/>
        <v>47932049</v>
      </c>
      <c r="F14" s="65">
        <f t="shared" si="1"/>
        <v>40158852</v>
      </c>
      <c r="G14" s="65">
        <f t="shared" si="1"/>
        <v>32385655</v>
      </c>
      <c r="H14" s="65">
        <f t="shared" si="1"/>
        <v>24612458</v>
      </c>
    </row>
    <row r="15" spans="1:8" x14ac:dyDescent="0.25">
      <c r="A15" s="65"/>
      <c r="B15" s="65"/>
      <c r="C15" s="65"/>
      <c r="D15" s="65"/>
      <c r="E15" s="65"/>
      <c r="F15" s="65"/>
      <c r="G15" s="65"/>
      <c r="H15" s="65"/>
    </row>
    <row r="16" spans="1:8" x14ac:dyDescent="0.25">
      <c r="A16" s="65" t="s">
        <v>186</v>
      </c>
      <c r="B16" s="65"/>
      <c r="C16" s="65"/>
      <c r="D16" s="65"/>
      <c r="E16" s="65"/>
      <c r="F16" s="65"/>
      <c r="G16" s="65"/>
      <c r="H16" s="65"/>
    </row>
    <row r="17" spans="1:9" x14ac:dyDescent="0.25">
      <c r="A17" s="65" t="s">
        <v>194</v>
      </c>
      <c r="B17" s="65">
        <f>+'INVERSIÓN INICIAL'!B33</f>
        <v>61874600</v>
      </c>
      <c r="C17" s="65">
        <f>+Tabla16[[#This Row],[ -   ]]</f>
        <v>61874600</v>
      </c>
      <c r="D17" s="65">
        <f>+Tabla16[[#This Row],[ -   ]]</f>
        <v>61874600</v>
      </c>
      <c r="E17" s="65">
        <f>+Tabla16[[#This Row],[ -   ]]</f>
        <v>61874600</v>
      </c>
      <c r="F17" s="65">
        <f>+Tabla16[[#This Row],[ -   ]]</f>
        <v>61874600</v>
      </c>
      <c r="G17" s="65">
        <f>+Tabla16[[#This Row],[ -   ]]</f>
        <v>61874600</v>
      </c>
      <c r="H17" s="65">
        <f>+Tabla16[[#This Row],[ -   ]]</f>
        <v>61874600</v>
      </c>
    </row>
    <row r="18" spans="1:9" x14ac:dyDescent="0.25">
      <c r="A18" s="65" t="s">
        <v>298</v>
      </c>
      <c r="B18" s="65">
        <f>+ER!C23</f>
        <v>0</v>
      </c>
      <c r="C18" s="65">
        <f>+ER!D23</f>
        <v>12374920</v>
      </c>
      <c r="D18" s="65">
        <f>+ER!E23+Tabla16[[#This Row],[AÑO 1]]</f>
        <v>24749840</v>
      </c>
      <c r="E18" s="65">
        <f>+ER!F23+Tabla16[[#This Row],[AÑO 2]]</f>
        <v>37124760</v>
      </c>
      <c r="F18" s="65">
        <f>+ER!G23+Tabla16[[#This Row],[AÑO 3]]</f>
        <v>49499680</v>
      </c>
      <c r="G18" s="65">
        <f>+ER!H23+Tabla16[[#This Row],[AÑO 4]]</f>
        <v>61874600</v>
      </c>
      <c r="H18" s="65">
        <f>+Tabla16[[#This Row],[AÑO 5]]</f>
        <v>61874600</v>
      </c>
    </row>
    <row r="19" spans="1:9" x14ac:dyDescent="0.25">
      <c r="A19" s="65" t="s">
        <v>187</v>
      </c>
      <c r="B19" s="65">
        <f t="shared" ref="B19:H19" si="2">B17-B18</f>
        <v>61874600</v>
      </c>
      <c r="C19" s="65">
        <f t="shared" si="2"/>
        <v>49499680</v>
      </c>
      <c r="D19" s="65">
        <f t="shared" si="2"/>
        <v>37124760</v>
      </c>
      <c r="E19" s="65">
        <f t="shared" si="2"/>
        <v>24749840</v>
      </c>
      <c r="F19" s="65">
        <f t="shared" si="2"/>
        <v>12374920</v>
      </c>
      <c r="G19" s="65">
        <f t="shared" si="2"/>
        <v>0</v>
      </c>
      <c r="H19" s="65">
        <f t="shared" si="2"/>
        <v>0</v>
      </c>
    </row>
    <row r="20" spans="1:9" x14ac:dyDescent="0.25">
      <c r="A20" s="65"/>
      <c r="B20" s="65"/>
      <c r="C20" s="65"/>
      <c r="D20" s="65"/>
      <c r="E20" s="65"/>
      <c r="F20" s="65"/>
      <c r="G20" s="65"/>
      <c r="H20" s="65"/>
    </row>
    <row r="21" spans="1:9" x14ac:dyDescent="0.25">
      <c r="A21" s="66" t="s">
        <v>188</v>
      </c>
      <c r="B21" s="66">
        <f t="shared" ref="B21:H21" si="3">B19+B14+B8</f>
        <v>221988833.38999999</v>
      </c>
      <c r="C21" s="66">
        <f t="shared" si="3"/>
        <v>188631364.91518876</v>
      </c>
      <c r="D21" s="66">
        <f t="shared" si="3"/>
        <v>144938071.0200932</v>
      </c>
      <c r="E21" s="66">
        <f t="shared" si="3"/>
        <v>156809088.20669183</v>
      </c>
      <c r="F21" s="66">
        <f t="shared" si="3"/>
        <v>169928470.05512035</v>
      </c>
      <c r="G21" s="66">
        <f t="shared" si="3"/>
        <v>184358634.79847029</v>
      </c>
      <c r="H21" s="66" t="e">
        <f t="shared" si="3"/>
        <v>#REF!</v>
      </c>
    </row>
    <row r="22" spans="1:9" x14ac:dyDescent="0.25">
      <c r="A22" s="65"/>
      <c r="B22" s="65"/>
      <c r="C22" s="65"/>
      <c r="D22" s="65"/>
      <c r="E22" s="65"/>
      <c r="F22" s="65"/>
      <c r="G22" s="65"/>
      <c r="H22" s="65"/>
    </row>
    <row r="23" spans="1:9" x14ac:dyDescent="0.25">
      <c r="A23" s="65" t="s">
        <v>282</v>
      </c>
      <c r="B23" s="65">
        <f>+FINANCIAMIENTO!F9</f>
        <v>100000000</v>
      </c>
      <c r="C23" s="65">
        <f>+FINANCIAMIENTO!F21</f>
        <v>52494061.757719725</v>
      </c>
      <c r="D23" s="65">
        <f>+FINANCIAMIENTO!F33</f>
        <v>-2.7939677238464355E-8</v>
      </c>
      <c r="E23" s="65">
        <v>0</v>
      </c>
      <c r="F23" s="65">
        <v>0</v>
      </c>
      <c r="G23" s="65">
        <v>0</v>
      </c>
      <c r="H23" s="65">
        <v>0</v>
      </c>
      <c r="I23" t="s">
        <v>295</v>
      </c>
    </row>
    <row r="24" spans="1:9" x14ac:dyDescent="0.25">
      <c r="A24" s="65" t="s">
        <v>261</v>
      </c>
      <c r="B24" s="65">
        <v>0</v>
      </c>
      <c r="C24" s="65">
        <f t="shared" ref="C24:H24" si="4">C5*0.3</f>
        <v>2589300</v>
      </c>
      <c r="D24" s="65">
        <f t="shared" si="4"/>
        <v>2718765</v>
      </c>
      <c r="E24" s="65">
        <f t="shared" si="4"/>
        <v>2854703.25</v>
      </c>
      <c r="F24" s="65">
        <f t="shared" si="4"/>
        <v>2997438.4125000001</v>
      </c>
      <c r="G24" s="65">
        <f t="shared" si="4"/>
        <v>3147310.3331249999</v>
      </c>
      <c r="H24" s="65">
        <f t="shared" si="4"/>
        <v>3304675.8497812501</v>
      </c>
    </row>
    <row r="25" spans="1:9" x14ac:dyDescent="0.25">
      <c r="A25" s="65" t="s">
        <v>189</v>
      </c>
      <c r="B25" s="9">
        <f>+ER!C25</f>
        <v>0</v>
      </c>
      <c r="C25" s="9">
        <v>0</v>
      </c>
      <c r="D25" s="9">
        <v>0</v>
      </c>
      <c r="E25" s="9">
        <f>+ER!F25</f>
        <v>0</v>
      </c>
      <c r="F25" s="9">
        <f>+ER!G25</f>
        <v>0</v>
      </c>
      <c r="G25" s="9">
        <f>+ER!H25</f>
        <v>0</v>
      </c>
      <c r="H25" s="9">
        <v>0</v>
      </c>
    </row>
    <row r="26" spans="1:9" x14ac:dyDescent="0.25">
      <c r="A26" s="66" t="s">
        <v>190</v>
      </c>
      <c r="B26" s="66">
        <f>B25+B24+B23</f>
        <v>100000000</v>
      </c>
      <c r="C26" s="66">
        <f>C25+C24+C23</f>
        <v>55083361.757719725</v>
      </c>
      <c r="D26" s="66">
        <f t="shared" ref="D26:H26" si="5">D25+D24+D23</f>
        <v>2718764.9999999721</v>
      </c>
      <c r="E26" s="66">
        <f t="shared" si="5"/>
        <v>2854703.25</v>
      </c>
      <c r="F26" s="66">
        <f t="shared" si="5"/>
        <v>2997438.4125000001</v>
      </c>
      <c r="G26" s="66">
        <f t="shared" si="5"/>
        <v>3147310.3331249999</v>
      </c>
      <c r="H26" s="66">
        <f t="shared" si="5"/>
        <v>3304675.8497812501</v>
      </c>
    </row>
    <row r="27" spans="1:9" x14ac:dyDescent="0.25">
      <c r="A27" s="65"/>
      <c r="B27" s="65"/>
      <c r="C27" s="65"/>
      <c r="D27" s="65"/>
      <c r="E27" s="65"/>
      <c r="F27" s="65"/>
      <c r="G27" s="65"/>
      <c r="H27" s="65"/>
    </row>
    <row r="28" spans="1:9" x14ac:dyDescent="0.25">
      <c r="A28" s="65" t="s">
        <v>191</v>
      </c>
      <c r="B28" s="65"/>
      <c r="C28" s="65"/>
      <c r="D28" s="65"/>
      <c r="E28" s="65"/>
      <c r="F28" s="65"/>
      <c r="G28" s="65"/>
      <c r="H28" s="65"/>
    </row>
    <row r="29" spans="1:9" x14ac:dyDescent="0.25">
      <c r="A29" s="65" t="s">
        <v>192</v>
      </c>
      <c r="B29" s="65">
        <f>+'INVERSIÓN INICIAL'!B36-BG!B23</f>
        <v>121988833.39000002</v>
      </c>
      <c r="C29" s="65">
        <f>+Tabla16[[#This Row],[ -   ]]</f>
        <v>121988833.39000002</v>
      </c>
      <c r="D29" s="65">
        <f>+Tabla16[[#This Row],[ -   ]]</f>
        <v>121988833.39000002</v>
      </c>
      <c r="E29" s="65">
        <f>+Tabla16[[#This Row],[ -   ]]</f>
        <v>121988833.39000002</v>
      </c>
      <c r="F29" s="65">
        <f>+Tabla16[[#This Row],[ -   ]]</f>
        <v>121988833.39000002</v>
      </c>
      <c r="G29" s="65">
        <f>+Tabla16[[#This Row],[ -   ]]</f>
        <v>121988833.39000002</v>
      </c>
      <c r="H29" s="65">
        <f>+Tabla16[[#This Row],[ -   ]]</f>
        <v>121988833.39000002</v>
      </c>
    </row>
    <row r="30" spans="1:9" x14ac:dyDescent="0.25">
      <c r="A30" s="65" t="s">
        <v>286</v>
      </c>
      <c r="B30" s="65">
        <f>+ER!C28</f>
        <v>0</v>
      </c>
      <c r="C30" s="65">
        <f>+ER!D28</f>
        <v>11559169.767469037</v>
      </c>
      <c r="D30" s="65">
        <f>+Tabla16[[#This Row],[AÑO 1]]+ER!E28</f>
        <v>20230472.630093247</v>
      </c>
      <c r="E30" s="65">
        <f>+Tabla16[[#This Row],[AÑO 2]]+ER!F28</f>
        <v>31965551.566691857</v>
      </c>
      <c r="F30" s="65">
        <f>+Tabla16[[#This Row],[AÑO 3]]+ER!G28</f>
        <v>44942198.252620399</v>
      </c>
      <c r="G30" s="65">
        <f>+Tabla16[[#This Row],[AÑO 4]]+ER!H28</f>
        <v>59222491.075345337</v>
      </c>
      <c r="H30" s="65" t="e">
        <f>+Tabla16[[#This Row],[AÑO 5]]+ER!#REF!</f>
        <v>#REF!</v>
      </c>
    </row>
    <row r="31" spans="1:9" x14ac:dyDescent="0.25">
      <c r="A31" s="67" t="s">
        <v>193</v>
      </c>
      <c r="B31" s="67">
        <f>B29+B30</f>
        <v>121988833.39000002</v>
      </c>
      <c r="C31" s="67">
        <f>C29+C30</f>
        <v>133548003.15746905</v>
      </c>
      <c r="D31" s="67">
        <f t="shared" ref="D31:H31" si="6">D29+D30</f>
        <v>142219306.02009326</v>
      </c>
      <c r="E31" s="67">
        <f t="shared" si="6"/>
        <v>153954384.95669186</v>
      </c>
      <c r="F31" s="67">
        <f t="shared" si="6"/>
        <v>166931031.64262041</v>
      </c>
      <c r="G31" s="67">
        <f t="shared" si="6"/>
        <v>181211324.46534535</v>
      </c>
      <c r="H31" s="67" t="e">
        <f t="shared" si="6"/>
        <v>#REF!</v>
      </c>
    </row>
    <row r="32" spans="1:9" x14ac:dyDescent="0.25">
      <c r="A32" s="67" t="s">
        <v>304</v>
      </c>
      <c r="B32" s="67">
        <f>B31+B26</f>
        <v>221988833.39000002</v>
      </c>
      <c r="C32" s="67">
        <f t="shared" ref="C32:H32" si="7">C31+C26</f>
        <v>188631364.91518879</v>
      </c>
      <c r="D32" s="67">
        <f t="shared" si="7"/>
        <v>144938071.02009323</v>
      </c>
      <c r="E32" s="67">
        <f t="shared" si="7"/>
        <v>156809088.20669186</v>
      </c>
      <c r="F32" s="67">
        <f t="shared" si="7"/>
        <v>169928470.05512041</v>
      </c>
      <c r="G32" s="67">
        <f t="shared" si="7"/>
        <v>184358634.79847035</v>
      </c>
      <c r="H32" s="67" t="e">
        <f t="shared" si="7"/>
        <v>#REF!</v>
      </c>
      <c r="I32" s="159" t="s">
        <v>213</v>
      </c>
    </row>
    <row r="33" spans="1:9" x14ac:dyDescent="0.25">
      <c r="A33" s="70" t="s">
        <v>212</v>
      </c>
      <c r="B33" s="70">
        <f>+B21</f>
        <v>221988833.38999999</v>
      </c>
      <c r="C33" s="70">
        <f t="shared" ref="C33:H33" si="8">+C21</f>
        <v>188631364.91518876</v>
      </c>
      <c r="D33" s="70">
        <f t="shared" si="8"/>
        <v>144938071.0200932</v>
      </c>
      <c r="E33" s="70">
        <f t="shared" si="8"/>
        <v>156809088.20669183</v>
      </c>
      <c r="F33" s="70">
        <f t="shared" si="8"/>
        <v>169928470.05512035</v>
      </c>
      <c r="G33" s="70">
        <f t="shared" si="8"/>
        <v>184358634.79847029</v>
      </c>
      <c r="H33" s="70" t="e">
        <f t="shared" si="8"/>
        <v>#REF!</v>
      </c>
      <c r="I33" s="159"/>
    </row>
    <row r="34" spans="1:9" x14ac:dyDescent="0.25">
      <c r="B34" s="65">
        <f t="shared" ref="B34:H34" si="9">+B33-B32</f>
        <v>0</v>
      </c>
      <c r="C34" s="65">
        <f t="shared" si="9"/>
        <v>0</v>
      </c>
      <c r="D34" s="65">
        <f t="shared" si="9"/>
        <v>0</v>
      </c>
      <c r="E34" s="65">
        <f t="shared" si="9"/>
        <v>0</v>
      </c>
      <c r="F34" s="65">
        <f t="shared" si="9"/>
        <v>0</v>
      </c>
      <c r="G34" s="65">
        <f t="shared" si="9"/>
        <v>0</v>
      </c>
      <c r="H34" s="65" t="e">
        <f t="shared" si="9"/>
        <v>#REF!</v>
      </c>
    </row>
    <row r="35" spans="1:9" x14ac:dyDescent="0.25">
      <c r="B35" s="99"/>
      <c r="C35" s="99"/>
      <c r="D35" s="99"/>
      <c r="E35" s="99"/>
      <c r="F35" s="99"/>
      <c r="G35" s="99"/>
      <c r="H35" s="99"/>
    </row>
    <row r="36" spans="1:9" x14ac:dyDescent="0.25">
      <c r="B36" s="65"/>
      <c r="D36" s="99"/>
      <c r="E36" s="99"/>
      <c r="F36" s="99"/>
      <c r="G36" s="99"/>
      <c r="H36" s="99"/>
    </row>
  </sheetData>
  <mergeCells count="1">
    <mergeCell ref="I32:I3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93F-0ECE-4115-A692-4750BD6DB84D}">
  <sheetPr>
    <tabColor rgb="FF7030A0"/>
  </sheetPr>
  <dimension ref="A2:H44"/>
  <sheetViews>
    <sheetView workbookViewId="0">
      <selection activeCell="F14" sqref="F14"/>
    </sheetView>
  </sheetViews>
  <sheetFormatPr baseColWidth="10" defaultRowHeight="15" x14ac:dyDescent="0.25"/>
  <cols>
    <col min="1" max="1" width="11.7109375" customWidth="1"/>
    <col min="2" max="2" width="30.7109375" bestFit="1" customWidth="1"/>
    <col min="3" max="4" width="16.7109375" bestFit="1" customWidth="1"/>
    <col min="5" max="5" width="17.7109375" bestFit="1" customWidth="1"/>
    <col min="6" max="6" width="16.7109375" bestFit="1" customWidth="1"/>
    <col min="7" max="8" width="18.28515625" bestFit="1" customWidth="1"/>
  </cols>
  <sheetData>
    <row r="2" spans="2:8" x14ac:dyDescent="0.25">
      <c r="B2" s="18" t="s">
        <v>195</v>
      </c>
    </row>
    <row r="3" spans="2:8" x14ac:dyDescent="0.25">
      <c r="B3" s="89"/>
      <c r="C3" s="90" t="s">
        <v>256</v>
      </c>
      <c r="D3" s="90" t="s">
        <v>74</v>
      </c>
      <c r="E3" s="90" t="s">
        <v>75</v>
      </c>
      <c r="F3" s="90" t="s">
        <v>76</v>
      </c>
      <c r="G3" s="90" t="s">
        <v>77</v>
      </c>
      <c r="H3" s="90" t="s">
        <v>78</v>
      </c>
    </row>
    <row r="4" spans="2:8" x14ac:dyDescent="0.25">
      <c r="B4" s="91" t="s">
        <v>262</v>
      </c>
      <c r="C4" s="74"/>
      <c r="D4" s="74">
        <f>+C25</f>
        <v>80642593.390000015</v>
      </c>
      <c r="E4" s="74">
        <f>+D25</f>
        <v>55300549.569147445</v>
      </c>
      <c r="F4" s="74">
        <f>+E25</f>
        <v>30737738.056749821</v>
      </c>
      <c r="G4" s="74">
        <f>+F25</f>
        <v>61688355.895181261</v>
      </c>
      <c r="H4" s="74">
        <f t="shared" ref="H4" si="0">+G25</f>
        <v>93833912.578034282</v>
      </c>
    </row>
    <row r="5" spans="2:8" x14ac:dyDescent="0.25">
      <c r="B5" s="92" t="s">
        <v>263</v>
      </c>
      <c r="C5" s="92">
        <f t="shared" ref="C5:H5" si="1">+SUM(C6:C9)</f>
        <v>0</v>
      </c>
      <c r="D5" s="92">
        <f t="shared" si="1"/>
        <v>39589765.049711801</v>
      </c>
      <c r="E5" s="92">
        <f t="shared" si="1"/>
        <v>31713774.629427493</v>
      </c>
      <c r="F5" s="92">
        <f t="shared" si="1"/>
        <v>31883195.93659861</v>
      </c>
      <c r="G5" s="92">
        <f t="shared" si="1"/>
        <v>33124763.685928542</v>
      </c>
      <c r="H5" s="92">
        <f t="shared" si="1"/>
        <v>34428409.822724938</v>
      </c>
    </row>
    <row r="6" spans="2:8" x14ac:dyDescent="0.25">
      <c r="B6" s="91" t="s">
        <v>225</v>
      </c>
      <c r="C6" s="91">
        <f>+C7+C8</f>
        <v>0</v>
      </c>
      <c r="D6" s="91">
        <f>+ER!D28</f>
        <v>11559169.767469037</v>
      </c>
      <c r="E6" s="91">
        <f>+ER!E28</f>
        <v>8671302.8626242094</v>
      </c>
      <c r="F6" s="91">
        <f>+ER!F28</f>
        <v>11735078.93659861</v>
      </c>
      <c r="G6" s="91">
        <f>+ER!G28</f>
        <v>12976646.685928542</v>
      </c>
      <c r="H6" s="91">
        <f>+ER!H28</f>
        <v>14280292.822724942</v>
      </c>
    </row>
    <row r="7" spans="2:8" x14ac:dyDescent="0.25">
      <c r="B7" s="74" t="s">
        <v>302</v>
      </c>
      <c r="C7" s="74">
        <f>+ER!C16</f>
        <v>0</v>
      </c>
      <c r="D7" s="74">
        <f>+ER!D22</f>
        <v>7773197</v>
      </c>
      <c r="E7" s="74">
        <f>+ER!E22</f>
        <v>7773197</v>
      </c>
      <c r="F7" s="74">
        <f>+ER!F22</f>
        <v>7773197</v>
      </c>
      <c r="G7" s="74">
        <f>+ER!G22</f>
        <v>7773197</v>
      </c>
      <c r="H7" s="74">
        <f>+ER!H22</f>
        <v>7773197</v>
      </c>
    </row>
    <row r="8" spans="2:8" x14ac:dyDescent="0.25">
      <c r="B8" s="74" t="s">
        <v>296</v>
      </c>
      <c r="C8" s="74">
        <v>0</v>
      </c>
      <c r="D8" s="74">
        <f>+ER!D23</f>
        <v>12374920</v>
      </c>
      <c r="E8" s="74">
        <f>+ER!E23</f>
        <v>12374920</v>
      </c>
      <c r="F8" s="74">
        <f>+ER!F23</f>
        <v>12374920</v>
      </c>
      <c r="G8" s="74">
        <f>+ER!G23</f>
        <v>12374920</v>
      </c>
      <c r="H8" s="74">
        <f>+ER!H23</f>
        <v>12374920</v>
      </c>
    </row>
    <row r="9" spans="2:8" x14ac:dyDescent="0.25">
      <c r="B9" s="108" t="s">
        <v>280</v>
      </c>
      <c r="C9" s="108">
        <v>0</v>
      </c>
      <c r="D9" s="109">
        <f>+ER!D25</f>
        <v>7882478.2822427647</v>
      </c>
      <c r="E9" s="109">
        <f>+ER!E25</f>
        <v>2894354.7668032823</v>
      </c>
      <c r="F9" s="109">
        <f>+ER!F25</f>
        <v>0</v>
      </c>
      <c r="G9" s="109">
        <f>+ER!G25</f>
        <v>0</v>
      </c>
      <c r="H9" s="109">
        <f>+ER!H25</f>
        <v>0</v>
      </c>
    </row>
    <row r="10" spans="2:8" x14ac:dyDescent="0.25">
      <c r="B10" s="92" t="s">
        <v>266</v>
      </c>
      <c r="C10" s="92">
        <f>+C11-C12</f>
        <v>-141346240</v>
      </c>
      <c r="D10" s="92">
        <f>+D11-D12</f>
        <v>-9543392.3460413218</v>
      </c>
      <c r="E10" s="92">
        <f t="shared" ref="E10:G10" si="2">+E11-E12</f>
        <v>-888169.61730206572</v>
      </c>
      <c r="F10" s="92">
        <f t="shared" si="2"/>
        <v>-932578.09816716984</v>
      </c>
      <c r="G10" s="92">
        <f t="shared" si="2"/>
        <v>-979207.00307552656</v>
      </c>
      <c r="H10" s="92">
        <f t="shared" ref="H10" si="3">+H11-H12</f>
        <v>-1028167.3532293062</v>
      </c>
    </row>
    <row r="11" spans="2:8" x14ac:dyDescent="0.25">
      <c r="B11" s="91" t="s">
        <v>264</v>
      </c>
      <c r="C11" s="91">
        <v>0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</row>
    <row r="12" spans="2:8" x14ac:dyDescent="0.25">
      <c r="B12" s="91" t="s">
        <v>265</v>
      </c>
      <c r="C12" s="91">
        <f t="shared" ref="C12:H12" si="4">+C13+C15+C14</f>
        <v>141346240</v>
      </c>
      <c r="D12" s="91">
        <f t="shared" si="4"/>
        <v>9543392.3460413218</v>
      </c>
      <c r="E12" s="91">
        <f t="shared" si="4"/>
        <v>888169.61730206572</v>
      </c>
      <c r="F12" s="91">
        <f t="shared" si="4"/>
        <v>932578.09816716984</v>
      </c>
      <c r="G12" s="91">
        <f t="shared" si="4"/>
        <v>979207.00307552656</v>
      </c>
      <c r="H12" s="91">
        <f t="shared" si="4"/>
        <v>1028167.3532293062</v>
      </c>
    </row>
    <row r="13" spans="2:8" x14ac:dyDescent="0.25">
      <c r="B13" s="74" t="s">
        <v>299</v>
      </c>
      <c r="C13" s="74">
        <f>+BG!B12</f>
        <v>71251640</v>
      </c>
      <c r="D13" s="74">
        <v>0</v>
      </c>
      <c r="E13" s="74">
        <v>0</v>
      </c>
      <c r="F13" s="74">
        <v>0</v>
      </c>
      <c r="G13" s="74">
        <v>0</v>
      </c>
      <c r="H13" s="74"/>
    </row>
    <row r="14" spans="2:8" x14ac:dyDescent="0.25">
      <c r="B14" s="74" t="s">
        <v>300</v>
      </c>
      <c r="C14" s="74">
        <f>+BG!B5</f>
        <v>8220000</v>
      </c>
      <c r="D14" s="74">
        <f>+(BG!C5+BG!C6+BG!C7-BG!B5-BG!B6-BG!B7)-(BG!C24-BG!B24)</f>
        <v>9543392.3460413218</v>
      </c>
      <c r="E14" s="74">
        <f>+(BG!D5+BG!D6+BG!D7-BG!C5-BG!C6-BG!C7)-(BG!D24-BG!C24)</f>
        <v>888169.61730206572</v>
      </c>
      <c r="F14" s="74">
        <f>+(BG!E5+BG!E6+BG!E7-BG!D5-BG!D6-BG!D7)-(BG!E24-BG!D24)</f>
        <v>932578.09816716984</v>
      </c>
      <c r="G14" s="74">
        <f>+(BG!F5+BG!F6+BG!F7-BG!E5-BG!E6-BG!E7)-(BG!F24-BG!E24)</f>
        <v>979207.00307552656</v>
      </c>
      <c r="H14" s="74">
        <f>+(BG!G5+BG!G6+BG!G7-BG!F5-BG!F6-BG!F7)-(BG!G24-BG!F24)</f>
        <v>1028167.3532293062</v>
      </c>
    </row>
    <row r="15" spans="2:8" x14ac:dyDescent="0.25">
      <c r="B15" s="74" t="s">
        <v>301</v>
      </c>
      <c r="C15" s="74">
        <f>+'INVERSIÓN INICIAL'!B33</f>
        <v>61874600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</row>
    <row r="16" spans="2:8" x14ac:dyDescent="0.25">
      <c r="B16" s="92" t="s">
        <v>267</v>
      </c>
      <c r="C16" s="92">
        <f>+C17-C21</f>
        <v>221988833.39000002</v>
      </c>
      <c r="D16" s="92">
        <f t="shared" ref="D16:G16" si="5">+D17-D21</f>
        <v>-55388416.52452305</v>
      </c>
      <c r="E16" s="92">
        <f t="shared" si="5"/>
        <v>-55388416.52452305</v>
      </c>
      <c r="F16" s="92">
        <f t="shared" si="5"/>
        <v>0</v>
      </c>
      <c r="G16" s="92">
        <f t="shared" si="5"/>
        <v>0</v>
      </c>
      <c r="H16" s="92">
        <f t="shared" ref="H16" si="6">+H17-H21</f>
        <v>0</v>
      </c>
    </row>
    <row r="17" spans="1:8" x14ac:dyDescent="0.25">
      <c r="B17" s="91" t="s">
        <v>264</v>
      </c>
      <c r="C17" s="91">
        <f>+C18+C20+C19</f>
        <v>221988833.39000002</v>
      </c>
      <c r="D17" s="91">
        <f t="shared" ref="D17:G17" si="7">+D18+D20</f>
        <v>0</v>
      </c>
      <c r="E17" s="91">
        <f t="shared" si="7"/>
        <v>0</v>
      </c>
      <c r="F17" s="91">
        <f t="shared" si="7"/>
        <v>0</v>
      </c>
      <c r="G17" s="91">
        <f t="shared" si="7"/>
        <v>0</v>
      </c>
      <c r="H17" s="91">
        <f t="shared" ref="H17" si="8">+H18+H20</f>
        <v>0</v>
      </c>
    </row>
    <row r="18" spans="1:8" x14ac:dyDescent="0.25">
      <c r="B18" s="74" t="s">
        <v>268</v>
      </c>
      <c r="C18" s="74">
        <v>121988833.39000002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</row>
    <row r="19" spans="1:8" x14ac:dyDescent="0.25">
      <c r="B19" s="74" t="s">
        <v>273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</row>
    <row r="20" spans="1:8" x14ac:dyDescent="0.25">
      <c r="B20" s="74" t="s">
        <v>274</v>
      </c>
      <c r="C20" s="74">
        <f>+FINANCIAMIENTO!B3</f>
        <v>100000000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</row>
    <row r="21" spans="1:8" x14ac:dyDescent="0.25">
      <c r="B21" s="91" t="s">
        <v>265</v>
      </c>
      <c r="C21" s="91">
        <f>+C22+C23</f>
        <v>0</v>
      </c>
      <c r="D21" s="91">
        <f>+D22+D23</f>
        <v>55388416.52452305</v>
      </c>
      <c r="E21" s="91">
        <f>+E22+E23</f>
        <v>55388416.52452305</v>
      </c>
      <c r="F21" s="91">
        <f t="shared" ref="F21:G21" si="9">+F22+F23</f>
        <v>0</v>
      </c>
      <c r="G21" s="91">
        <f t="shared" si="9"/>
        <v>0</v>
      </c>
      <c r="H21" s="91">
        <f t="shared" ref="H21" si="10">+H22+H23</f>
        <v>0</v>
      </c>
    </row>
    <row r="22" spans="1:8" s="61" customFormat="1" x14ac:dyDescent="0.25">
      <c r="B22" s="74" t="s">
        <v>269</v>
      </c>
      <c r="C22" s="76">
        <f>+ER!C25</f>
        <v>0</v>
      </c>
      <c r="D22" s="76">
        <f>+ER!D25</f>
        <v>7882478.2822427647</v>
      </c>
      <c r="E22" s="76">
        <f>+ER!E25</f>
        <v>2894354.7668032823</v>
      </c>
      <c r="F22" s="76">
        <f>+ER!F25</f>
        <v>0</v>
      </c>
      <c r="G22" s="76">
        <f>+ER!G25</f>
        <v>0</v>
      </c>
      <c r="H22" s="76">
        <f>+ER!H25</f>
        <v>0</v>
      </c>
    </row>
    <row r="23" spans="1:8" x14ac:dyDescent="0.25">
      <c r="B23" s="74" t="s">
        <v>270</v>
      </c>
      <c r="C23" s="74">
        <v>0</v>
      </c>
      <c r="D23" s="74">
        <f>+FINANCIAMIENTO!K18</f>
        <v>47505938.242280282</v>
      </c>
      <c r="E23" s="74">
        <f>+FINANCIAMIENTO!K19</f>
        <v>52494061.75771977</v>
      </c>
      <c r="F23" s="74">
        <v>0</v>
      </c>
      <c r="G23" s="74">
        <f t="shared" ref="G23:H23" si="11">+F23</f>
        <v>0</v>
      </c>
      <c r="H23" s="74">
        <f t="shared" si="11"/>
        <v>0</v>
      </c>
    </row>
    <row r="24" spans="1:8" x14ac:dyDescent="0.25">
      <c r="B24" s="93" t="s">
        <v>271</v>
      </c>
      <c r="C24" s="93">
        <f t="shared" ref="C24:H24" si="12">+C16+C10+C5</f>
        <v>80642593.390000015</v>
      </c>
      <c r="D24" s="93">
        <f t="shared" si="12"/>
        <v>-25342043.82085257</v>
      </c>
      <c r="E24" s="93">
        <f t="shared" si="12"/>
        <v>-24562811.512397625</v>
      </c>
      <c r="F24" s="93">
        <f t="shared" si="12"/>
        <v>30950617.83843144</v>
      </c>
      <c r="G24" s="93">
        <f t="shared" si="12"/>
        <v>32145556.682853017</v>
      </c>
      <c r="H24" s="93">
        <f t="shared" si="12"/>
        <v>33400242.469495632</v>
      </c>
    </row>
    <row r="25" spans="1:8" x14ac:dyDescent="0.25">
      <c r="B25" s="74" t="s">
        <v>272</v>
      </c>
      <c r="C25" s="74">
        <f>+C24</f>
        <v>80642593.390000015</v>
      </c>
      <c r="D25" s="74">
        <f>+D24+C25</f>
        <v>55300549.569147445</v>
      </c>
      <c r="E25" s="74">
        <f t="shared" ref="E25:H25" si="13">+E24+D25</f>
        <v>30737738.056749821</v>
      </c>
      <c r="F25" s="74">
        <f t="shared" si="13"/>
        <v>61688355.895181261</v>
      </c>
      <c r="G25" s="74">
        <f t="shared" si="13"/>
        <v>93833912.578034282</v>
      </c>
      <c r="H25" s="74">
        <f t="shared" si="13"/>
        <v>127234155.04752991</v>
      </c>
    </row>
    <row r="26" spans="1:8" x14ac:dyDescent="0.25">
      <c r="B26" s="74" t="s">
        <v>303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f>+BG!G14+SUM(BG!G5:G7)</f>
        <v>57124479.75094039</v>
      </c>
    </row>
    <row r="27" spans="1:8" x14ac:dyDescent="0.25">
      <c r="B27" s="110" t="s">
        <v>305</v>
      </c>
      <c r="C27" s="111">
        <f t="shared" ref="C27:H27" si="14">+C5+C10+C26</f>
        <v>-141346240</v>
      </c>
      <c r="D27" s="111">
        <f t="shared" si="14"/>
        <v>30046372.703670479</v>
      </c>
      <c r="E27" s="111">
        <f t="shared" si="14"/>
        <v>30825605.012125425</v>
      </c>
      <c r="F27" s="111">
        <f t="shared" si="14"/>
        <v>30950617.83843144</v>
      </c>
      <c r="G27" s="111">
        <f t="shared" si="14"/>
        <v>32145556.682853017</v>
      </c>
      <c r="H27" s="111">
        <f t="shared" si="14"/>
        <v>90524722.220436022</v>
      </c>
    </row>
    <row r="30" spans="1:8" x14ac:dyDescent="0.25">
      <c r="A30" s="21" t="s">
        <v>196</v>
      </c>
      <c r="B30" s="58" t="s">
        <v>198</v>
      </c>
      <c r="D30" t="s">
        <v>202</v>
      </c>
      <c r="E30" s="51">
        <f>+FINANCIAMIENTO!D4</f>
        <v>0.12074177155303442</v>
      </c>
    </row>
    <row r="31" spans="1:8" x14ac:dyDescent="0.25">
      <c r="A31" s="13" t="s">
        <v>197</v>
      </c>
      <c r="B31" s="23">
        <f>+C27</f>
        <v>-141346240</v>
      </c>
      <c r="D31" t="s">
        <v>203</v>
      </c>
      <c r="E31" s="61">
        <f>NPV(E30,B32:B36)+Tabla18[[#This Row],[-21,22%]]</f>
        <v>3562362.6993746758</v>
      </c>
    </row>
    <row r="32" spans="1:8" x14ac:dyDescent="0.25">
      <c r="A32" s="13" t="s">
        <v>152</v>
      </c>
      <c r="B32" s="23">
        <f>+D27</f>
        <v>30046372.703670479</v>
      </c>
      <c r="D32" t="s">
        <v>196</v>
      </c>
      <c r="E32" s="94">
        <f>IRR(Tabla18[-21,22%])</f>
        <v>0.12922995872277987</v>
      </c>
    </row>
    <row r="33" spans="1:8" x14ac:dyDescent="0.25">
      <c r="A33" s="13" t="s">
        <v>153</v>
      </c>
      <c r="B33" s="23">
        <f>+E27</f>
        <v>30825605.012125425</v>
      </c>
    </row>
    <row r="34" spans="1:8" x14ac:dyDescent="0.25">
      <c r="A34" s="13" t="s">
        <v>154</v>
      </c>
      <c r="B34" s="23">
        <f>+F27</f>
        <v>30950617.83843144</v>
      </c>
      <c r="D34" s="160" t="s">
        <v>306</v>
      </c>
      <c r="E34" s="160"/>
    </row>
    <row r="35" spans="1:8" x14ac:dyDescent="0.25">
      <c r="A35" s="13" t="s">
        <v>155</v>
      </c>
      <c r="B35" s="23">
        <f>+G27</f>
        <v>32145556.682853017</v>
      </c>
      <c r="D35" s="160"/>
      <c r="E35" s="160"/>
    </row>
    <row r="36" spans="1:8" x14ac:dyDescent="0.25">
      <c r="A36" s="13" t="s">
        <v>156</v>
      </c>
      <c r="B36" s="23">
        <f>+H27</f>
        <v>90524722.220436022</v>
      </c>
    </row>
    <row r="39" spans="1:8" x14ac:dyDescent="0.25">
      <c r="A39" t="s">
        <v>40</v>
      </c>
      <c r="B39" s="13" t="s">
        <v>41</v>
      </c>
      <c r="C39" s="13" t="s">
        <v>42</v>
      </c>
      <c r="D39" s="13" t="s">
        <v>43</v>
      </c>
      <c r="E39" s="13" t="s">
        <v>177</v>
      </c>
      <c r="F39" s="13" t="s">
        <v>178</v>
      </c>
      <c r="G39" s="13"/>
      <c r="H39" s="13"/>
    </row>
    <row r="40" spans="1:8" x14ac:dyDescent="0.25">
      <c r="B40" s="13" t="s">
        <v>74</v>
      </c>
      <c r="C40" s="13" t="s">
        <v>75</v>
      </c>
      <c r="D40" s="13" t="s">
        <v>76</v>
      </c>
      <c r="E40" s="13" t="s">
        <v>77</v>
      </c>
      <c r="F40" s="13" t="s">
        <v>78</v>
      </c>
      <c r="G40" s="13"/>
      <c r="H40" s="13"/>
    </row>
    <row r="41" spans="1:8" x14ac:dyDescent="0.25">
      <c r="A41" s="18" t="s">
        <v>199</v>
      </c>
      <c r="G41" s="13"/>
    </row>
    <row r="42" spans="1:8" x14ac:dyDescent="0.25">
      <c r="A42" t="s">
        <v>200</v>
      </c>
      <c r="B42" s="59">
        <f>+ER!D24/BG!C21</f>
        <v>0.13606335509251596</v>
      </c>
      <c r="C42" s="59">
        <f>+ER!E24/BG!D21</f>
        <v>0.1120121207288</v>
      </c>
      <c r="D42" s="59">
        <f>+ER!F24/BG!E21</f>
        <v>0.11513342626525547</v>
      </c>
      <c r="E42" s="59">
        <f>+ER!G24/BG!F21</f>
        <v>0.11748515018130644</v>
      </c>
      <c r="F42" s="59">
        <f>+ER!H24/BG!G21</f>
        <v>0.1191681707219551</v>
      </c>
      <c r="G42" s="13"/>
      <c r="H42" s="59"/>
    </row>
    <row r="43" spans="1:8" x14ac:dyDescent="0.25">
      <c r="A43" t="s">
        <v>201</v>
      </c>
      <c r="B43" s="59">
        <f>+ER!D28/BG!B31</f>
        <v>9.475596615072307E-2</v>
      </c>
      <c r="C43" s="59">
        <f>+ER!E28/BG!C31</f>
        <v>6.4930232258131992E-2</v>
      </c>
      <c r="D43" s="59">
        <f>+ER!F28/BG!D31</f>
        <v>8.2513965684382087E-2</v>
      </c>
      <c r="E43" s="59">
        <f>+ER!G28/BG!E31</f>
        <v>8.4288906026151439E-2</v>
      </c>
      <c r="F43" s="59">
        <f>+ER!H28/BG!F31</f>
        <v>8.5546064636426375E-2</v>
      </c>
      <c r="G43" s="13"/>
      <c r="H43" s="59"/>
    </row>
    <row r="44" spans="1:8" x14ac:dyDescent="0.25">
      <c r="A44" s="18" t="s">
        <v>203</v>
      </c>
      <c r="B44" s="57">
        <f>NPV(E30,B32:B37)+B31</f>
        <v>3562362.6993746758</v>
      </c>
      <c r="G44" s="13"/>
    </row>
  </sheetData>
  <mergeCells count="1">
    <mergeCell ref="D34:E35"/>
  </mergeCells>
  <phoneticPr fontId="16" type="noConversion"/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4EF5-929B-4287-B8AC-532BFF3C05E6}">
  <sheetPr>
    <tabColor rgb="FF00B0F0"/>
  </sheetPr>
  <dimension ref="A1:I9"/>
  <sheetViews>
    <sheetView workbookViewId="0">
      <selection activeCell="F9" sqref="F9"/>
    </sheetView>
  </sheetViews>
  <sheetFormatPr baseColWidth="10" defaultRowHeight="15" x14ac:dyDescent="0.25"/>
  <cols>
    <col min="2" max="2" width="19.140625" customWidth="1"/>
    <col min="3" max="3" width="25" customWidth="1"/>
    <col min="4" max="4" width="19.140625" customWidth="1"/>
    <col min="5" max="5" width="16.7109375" customWidth="1"/>
    <col min="6" max="6" width="19" customWidth="1"/>
  </cols>
  <sheetData>
    <row r="1" spans="1:9" x14ac:dyDescent="0.25">
      <c r="I1" s="104">
        <f>+D3/C3</f>
        <v>14.75809090909091</v>
      </c>
    </row>
    <row r="2" spans="1:9" x14ac:dyDescent="0.25">
      <c r="A2" s="15" t="s">
        <v>31</v>
      </c>
      <c r="B2" s="15" t="s">
        <v>30</v>
      </c>
      <c r="C2" s="15" t="s">
        <v>35</v>
      </c>
      <c r="D2" s="15" t="s">
        <v>36</v>
      </c>
      <c r="E2" s="15" t="s">
        <v>32</v>
      </c>
      <c r="F2" s="15" t="s">
        <v>33</v>
      </c>
      <c r="G2" s="15" t="s">
        <v>40</v>
      </c>
    </row>
    <row r="3" spans="1:9" x14ac:dyDescent="0.25">
      <c r="B3" t="s">
        <v>34</v>
      </c>
      <c r="C3" s="16">
        <v>110</v>
      </c>
      <c r="D3" s="16">
        <v>1623.39</v>
      </c>
      <c r="E3" s="16">
        <v>9500</v>
      </c>
      <c r="F3" s="16">
        <f>Tabla1[[#This Row],[Precio / Kg vivo]]*Tabla1[[#This Row],[Cantidad / Unidades (kg)]]*I1</f>
        <v>15422205.000000002</v>
      </c>
    </row>
    <row r="4" spans="1:9" x14ac:dyDescent="0.25">
      <c r="B4" t="s">
        <v>48</v>
      </c>
      <c r="C4" s="16">
        <v>0</v>
      </c>
      <c r="D4" s="16">
        <v>0</v>
      </c>
      <c r="E4" s="16">
        <v>0</v>
      </c>
      <c r="F4" s="16">
        <v>10000</v>
      </c>
    </row>
    <row r="5" spans="1:9" x14ac:dyDescent="0.25">
      <c r="B5" t="s">
        <v>49</v>
      </c>
      <c r="C5" s="16">
        <v>0</v>
      </c>
      <c r="D5" s="16">
        <v>0</v>
      </c>
      <c r="E5" s="16">
        <v>0</v>
      </c>
      <c r="F5" s="16">
        <v>75000</v>
      </c>
    </row>
    <row r="6" spans="1:9" x14ac:dyDescent="0.25">
      <c r="C6" s="16"/>
      <c r="D6" s="16"/>
      <c r="E6" s="16"/>
      <c r="F6" s="16"/>
    </row>
    <row r="7" spans="1:9" x14ac:dyDescent="0.25">
      <c r="B7" s="21" t="s">
        <v>28</v>
      </c>
      <c r="C7" s="22"/>
      <c r="D7" s="22"/>
      <c r="E7" s="22"/>
      <c r="F7" s="85">
        <f>SUM(F3:F6)</f>
        <v>15507205.000000002</v>
      </c>
    </row>
    <row r="9" spans="1:9" x14ac:dyDescent="0.25">
      <c r="F9" s="61">
        <f>+F7*12</f>
        <v>186086460.00000003</v>
      </c>
      <c r="G9" t="s">
        <v>252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50F9-F59D-45B0-81CE-3A565AF9E82E}">
  <sheetPr>
    <tabColor rgb="FF00B0F0"/>
  </sheetPr>
  <dimension ref="A1:I16"/>
  <sheetViews>
    <sheetView workbookViewId="0">
      <selection activeCell="D7" sqref="D7"/>
    </sheetView>
  </sheetViews>
  <sheetFormatPr baseColWidth="10" defaultRowHeight="15" x14ac:dyDescent="0.25"/>
  <cols>
    <col min="1" max="1" width="35.28515625" customWidth="1"/>
    <col min="2" max="2" width="12" customWidth="1"/>
    <col min="3" max="3" width="14.42578125" bestFit="1" customWidth="1"/>
    <col min="4" max="4" width="15.140625" bestFit="1" customWidth="1"/>
    <col min="7" max="7" width="24.85546875" bestFit="1" customWidth="1"/>
    <col min="8" max="8" width="14.42578125" customWidth="1"/>
  </cols>
  <sheetData>
    <row r="1" spans="1:9" x14ac:dyDescent="0.25">
      <c r="A1" s="14" t="s">
        <v>40</v>
      </c>
      <c r="B1" s="14" t="s">
        <v>41</v>
      </c>
      <c r="C1" s="14" t="s">
        <v>42</v>
      </c>
      <c r="D1" s="14" t="s">
        <v>43</v>
      </c>
    </row>
    <row r="2" spans="1:9" x14ac:dyDescent="0.25">
      <c r="A2" s="14" t="s">
        <v>30</v>
      </c>
      <c r="B2" s="14" t="s">
        <v>37</v>
      </c>
      <c r="C2" s="14" t="s">
        <v>38</v>
      </c>
      <c r="D2" s="14" t="s">
        <v>39</v>
      </c>
      <c r="G2" s="154" t="s">
        <v>242</v>
      </c>
      <c r="H2" s="154"/>
      <c r="I2" s="154"/>
    </row>
    <row r="3" spans="1:9" x14ac:dyDescent="0.25">
      <c r="A3" s="19" t="s">
        <v>46</v>
      </c>
      <c r="B3" s="16">
        <v>1</v>
      </c>
      <c r="C3" s="16">
        <v>10000000</v>
      </c>
      <c r="D3" s="16">
        <f>Tabla2[[#This Row],[Columna2]]*Tabla2[[#This Row],[Columna3]]</f>
        <v>10000000</v>
      </c>
      <c r="G3" s="7" t="s">
        <v>241</v>
      </c>
      <c r="H3" s="82">
        <v>1850000</v>
      </c>
      <c r="I3" s="7"/>
    </row>
    <row r="4" spans="1:9" x14ac:dyDescent="0.25">
      <c r="A4" s="19" t="s">
        <v>50</v>
      </c>
      <c r="B4" s="16">
        <v>1</v>
      </c>
      <c r="C4" s="16">
        <v>15600000</v>
      </c>
      <c r="D4" s="16">
        <f>Tabla2[[#This Row],[Columna2]]*Tabla2[[#This Row],[Columna3]]</f>
        <v>15600000</v>
      </c>
      <c r="G4" s="7" t="s">
        <v>243</v>
      </c>
      <c r="H4" s="82">
        <v>1667000</v>
      </c>
      <c r="I4" s="7"/>
    </row>
    <row r="5" spans="1:9" x14ac:dyDescent="0.25">
      <c r="A5" s="19" t="s">
        <v>47</v>
      </c>
      <c r="B5" s="16">
        <v>1</v>
      </c>
      <c r="C5" s="16">
        <f>H7*12</f>
        <v>45801600</v>
      </c>
      <c r="D5" s="16">
        <f>Tabla2[[#This Row],[Columna2]]*Tabla2[[#This Row],[Columna3]]</f>
        <v>45801600</v>
      </c>
      <c r="G5" s="7" t="s">
        <v>244</v>
      </c>
      <c r="H5" s="82">
        <v>139900</v>
      </c>
      <c r="I5" s="7"/>
    </row>
    <row r="6" spans="1:9" x14ac:dyDescent="0.25">
      <c r="A6" t="s">
        <v>247</v>
      </c>
      <c r="B6" s="16">
        <v>1</v>
      </c>
      <c r="C6" s="16">
        <f>+MO!W8</f>
        <v>124546959.168</v>
      </c>
      <c r="D6" s="16">
        <f>Tabla2[[#This Row],[Columna2]]*Tabla2[[#This Row],[Columna3]]</f>
        <v>124546959.168</v>
      </c>
      <c r="G6" s="7" t="s">
        <v>245</v>
      </c>
      <c r="H6" s="82">
        <v>159900</v>
      </c>
      <c r="I6" s="7"/>
    </row>
    <row r="7" spans="1:9" x14ac:dyDescent="0.25">
      <c r="A7" s="21" t="s">
        <v>28</v>
      </c>
      <c r="B7" s="22"/>
      <c r="C7" s="22"/>
      <c r="D7" s="22">
        <f>SUM(D3:D6)</f>
        <v>195948559.16799998</v>
      </c>
      <c r="G7" s="7" t="s">
        <v>238</v>
      </c>
      <c r="H7" s="83">
        <f>SUM(H3:H6)</f>
        <v>3816800</v>
      </c>
      <c r="I7" s="7" t="s">
        <v>239</v>
      </c>
    </row>
    <row r="8" spans="1:9" x14ac:dyDescent="0.25">
      <c r="B8" s="16"/>
      <c r="C8" s="16"/>
      <c r="D8" s="16"/>
    </row>
    <row r="9" spans="1:9" x14ac:dyDescent="0.25">
      <c r="B9" s="16"/>
      <c r="C9" s="16"/>
      <c r="D9" s="16"/>
    </row>
    <row r="10" spans="1:9" x14ac:dyDescent="0.25">
      <c r="B10" s="16"/>
      <c r="C10" s="16"/>
      <c r="D10" s="16"/>
    </row>
    <row r="16" spans="1:9" x14ac:dyDescent="0.25">
      <c r="D16" s="87"/>
    </row>
  </sheetData>
  <mergeCells count="1">
    <mergeCell ref="G2:I2"/>
  </mergeCells>
  <phoneticPr fontId="16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EC72-7C51-4AD0-A37C-70E7EB1DF626}">
  <sheetPr>
    <tabColor rgb="FF00B0F0"/>
  </sheetPr>
  <dimension ref="A3:G38"/>
  <sheetViews>
    <sheetView zoomScaleNormal="100" workbookViewId="0">
      <selection activeCell="F21" sqref="F21"/>
    </sheetView>
  </sheetViews>
  <sheetFormatPr baseColWidth="10" defaultColWidth="11.42578125" defaultRowHeight="15" x14ac:dyDescent="0.25"/>
  <cols>
    <col min="1" max="1" width="4.5703125" style="33" bestFit="1" customWidth="1"/>
    <col min="2" max="2" width="38.140625" style="33" bestFit="1" customWidth="1"/>
    <col min="3" max="3" width="17" style="33" customWidth="1"/>
    <col min="4" max="4" width="9.28515625" style="33" customWidth="1"/>
    <col min="5" max="7" width="15.5703125" style="33" bestFit="1" customWidth="1"/>
    <col min="8" max="11" width="16.42578125" style="33" bestFit="1" customWidth="1"/>
    <col min="12" max="16384" width="11.42578125" style="33"/>
  </cols>
  <sheetData>
    <row r="3" spans="2:7" ht="15.75" thickBot="1" x14ac:dyDescent="0.3">
      <c r="B3" s="26" t="s">
        <v>69</v>
      </c>
    </row>
    <row r="4" spans="2:7" ht="15.75" thickBot="1" x14ac:dyDescent="0.3">
      <c r="B4" s="27" t="s">
        <v>70</v>
      </c>
      <c r="C4" s="28" t="s">
        <v>71</v>
      </c>
      <c r="D4" s="28" t="s">
        <v>97</v>
      </c>
    </row>
    <row r="5" spans="2:7" ht="15.75" thickBot="1" x14ac:dyDescent="0.3">
      <c r="B5" s="29" t="s">
        <v>79</v>
      </c>
      <c r="C5" s="30">
        <v>1585000</v>
      </c>
      <c r="D5" s="39">
        <v>10</v>
      </c>
      <c r="E5" s="33" t="s">
        <v>72</v>
      </c>
    </row>
    <row r="6" spans="2:7" ht="15.75" thickBot="1" x14ac:dyDescent="0.3">
      <c r="B6" s="29" t="s">
        <v>80</v>
      </c>
      <c r="C6" s="30">
        <v>4398900</v>
      </c>
      <c r="D6" s="39">
        <v>5</v>
      </c>
      <c r="E6" s="33" t="s">
        <v>72</v>
      </c>
    </row>
    <row r="7" spans="2:7" ht="15.75" thickBot="1" x14ac:dyDescent="0.3">
      <c r="B7" s="29" t="s">
        <v>81</v>
      </c>
      <c r="C7" s="30">
        <v>132000</v>
      </c>
      <c r="D7" s="39">
        <v>10</v>
      </c>
      <c r="E7" s="33" t="s">
        <v>72</v>
      </c>
    </row>
    <row r="8" spans="2:7" ht="15.75" thickBot="1" x14ac:dyDescent="0.3">
      <c r="B8" s="29" t="s">
        <v>82</v>
      </c>
      <c r="C8" s="30">
        <v>1118400</v>
      </c>
      <c r="D8" s="39">
        <v>10</v>
      </c>
      <c r="E8" s="33" t="s">
        <v>72</v>
      </c>
    </row>
    <row r="9" spans="2:7" ht="15.75" thickBot="1" x14ac:dyDescent="0.3">
      <c r="B9" s="29" t="s">
        <v>83</v>
      </c>
      <c r="C9" s="30">
        <v>107400</v>
      </c>
      <c r="D9" s="39">
        <v>20</v>
      </c>
      <c r="E9" s="33" t="s">
        <v>72</v>
      </c>
    </row>
    <row r="10" spans="2:7" ht="15.75" thickBot="1" x14ac:dyDescent="0.3">
      <c r="B10" s="29" t="s">
        <v>84</v>
      </c>
      <c r="C10" s="30">
        <v>749700</v>
      </c>
      <c r="D10" s="39">
        <v>5</v>
      </c>
      <c r="E10" s="33" t="s">
        <v>72</v>
      </c>
    </row>
    <row r="11" spans="2:7" ht="15.75" thickBot="1" x14ac:dyDescent="0.3">
      <c r="B11" s="29" t="s">
        <v>85</v>
      </c>
      <c r="C11" s="30">
        <v>58643200</v>
      </c>
      <c r="D11" s="39">
        <v>10</v>
      </c>
      <c r="E11" s="33" t="s">
        <v>72</v>
      </c>
    </row>
    <row r="12" spans="2:7" ht="15.75" thickBot="1" x14ac:dyDescent="0.3">
      <c r="B12" s="29" t="s">
        <v>86</v>
      </c>
      <c r="C12" s="30">
        <v>107940</v>
      </c>
      <c r="D12" s="39">
        <v>20</v>
      </c>
      <c r="E12" s="33" t="s">
        <v>72</v>
      </c>
    </row>
    <row r="13" spans="2:7" ht="15.75" thickBot="1" x14ac:dyDescent="0.3">
      <c r="B13" s="29" t="s">
        <v>87</v>
      </c>
      <c r="C13" s="30">
        <v>120000</v>
      </c>
      <c r="D13" s="39">
        <v>10</v>
      </c>
      <c r="E13" s="33" t="s">
        <v>72</v>
      </c>
    </row>
    <row r="14" spans="2:7" ht="15.75" thickBot="1" x14ac:dyDescent="0.3">
      <c r="B14" s="29" t="s">
        <v>88</v>
      </c>
      <c r="C14" s="30">
        <v>2849700</v>
      </c>
      <c r="D14" s="39">
        <v>10</v>
      </c>
      <c r="E14" s="33" t="s">
        <v>72</v>
      </c>
    </row>
    <row r="15" spans="2:7" ht="15.75" thickBot="1" x14ac:dyDescent="0.3">
      <c r="B15" s="29" t="s">
        <v>79</v>
      </c>
      <c r="C15" s="30">
        <v>1439400</v>
      </c>
      <c r="D15" s="39">
        <v>5</v>
      </c>
      <c r="E15" s="33" t="s">
        <v>72</v>
      </c>
    </row>
    <row r="16" spans="2:7" ht="15.75" thickBot="1" x14ac:dyDescent="0.3">
      <c r="B16" s="29"/>
      <c r="C16" s="30"/>
      <c r="D16" s="28"/>
      <c r="G16" s="38"/>
    </row>
    <row r="17" spans="2:7" ht="15.75" thickBot="1" x14ac:dyDescent="0.3">
      <c r="B17" s="31" t="s">
        <v>73</v>
      </c>
      <c r="C17" s="32">
        <f>SUM(C5:C16)</f>
        <v>71251640</v>
      </c>
      <c r="D17" s="28"/>
    </row>
    <row r="20" spans="2:7" x14ac:dyDescent="0.25">
      <c r="B20" s="34" t="s">
        <v>91</v>
      </c>
      <c r="C20" s="34" t="s">
        <v>92</v>
      </c>
      <c r="D20" s="34" t="s">
        <v>93</v>
      </c>
      <c r="E20" s="34" t="s">
        <v>94</v>
      </c>
      <c r="F20" s="34" t="s">
        <v>95</v>
      </c>
      <c r="G20" s="34" t="s">
        <v>96</v>
      </c>
    </row>
    <row r="21" spans="2:7" x14ac:dyDescent="0.25">
      <c r="B21" s="33" t="s">
        <v>79</v>
      </c>
      <c r="C21" s="35">
        <v>1585000</v>
      </c>
      <c r="D21" s="35">
        <v>0</v>
      </c>
      <c r="E21" s="35">
        <f>D5</f>
        <v>10</v>
      </c>
      <c r="F21" s="35">
        <f>C21/E21</f>
        <v>158500</v>
      </c>
      <c r="G21" s="35">
        <f>F21/12</f>
        <v>13208.333333333334</v>
      </c>
    </row>
    <row r="22" spans="2:7" x14ac:dyDescent="0.25">
      <c r="B22" s="33" t="s">
        <v>80</v>
      </c>
      <c r="C22" s="35">
        <v>4398900</v>
      </c>
      <c r="D22" s="35">
        <v>0</v>
      </c>
      <c r="E22" s="35">
        <f t="shared" ref="E22:E31" si="0">D6</f>
        <v>5</v>
      </c>
      <c r="F22" s="35">
        <f t="shared" ref="F22:F31" si="1">C22/E22</f>
        <v>879780</v>
      </c>
      <c r="G22" s="35">
        <f t="shared" ref="G22:G31" si="2">F22/12</f>
        <v>73315</v>
      </c>
    </row>
    <row r="23" spans="2:7" x14ac:dyDescent="0.25">
      <c r="B23" s="33" t="s">
        <v>81</v>
      </c>
      <c r="C23" s="35">
        <v>132000</v>
      </c>
      <c r="D23" s="35">
        <v>0</v>
      </c>
      <c r="E23" s="35">
        <f t="shared" si="0"/>
        <v>10</v>
      </c>
      <c r="F23" s="35">
        <f t="shared" si="1"/>
        <v>13200</v>
      </c>
      <c r="G23" s="35">
        <f t="shared" si="2"/>
        <v>1100</v>
      </c>
    </row>
    <row r="24" spans="2:7" x14ac:dyDescent="0.25">
      <c r="B24" s="33" t="s">
        <v>82</v>
      </c>
      <c r="C24" s="35">
        <v>1118400</v>
      </c>
      <c r="D24" s="35">
        <v>0</v>
      </c>
      <c r="E24" s="35">
        <f t="shared" si="0"/>
        <v>10</v>
      </c>
      <c r="F24" s="35">
        <f t="shared" si="1"/>
        <v>111840</v>
      </c>
      <c r="G24" s="35">
        <f t="shared" si="2"/>
        <v>9320</v>
      </c>
    </row>
    <row r="25" spans="2:7" x14ac:dyDescent="0.25">
      <c r="B25" s="33" t="s">
        <v>83</v>
      </c>
      <c r="C25" s="35">
        <v>107400</v>
      </c>
      <c r="D25" s="35">
        <v>0</v>
      </c>
      <c r="E25" s="35">
        <f t="shared" si="0"/>
        <v>20</v>
      </c>
      <c r="F25" s="35">
        <f t="shared" si="1"/>
        <v>5370</v>
      </c>
      <c r="G25" s="35">
        <f t="shared" si="2"/>
        <v>447.5</v>
      </c>
    </row>
    <row r="26" spans="2:7" x14ac:dyDescent="0.25">
      <c r="B26" s="33" t="s">
        <v>84</v>
      </c>
      <c r="C26" s="35">
        <v>749700</v>
      </c>
      <c r="D26" s="35">
        <v>0</v>
      </c>
      <c r="E26" s="35">
        <f t="shared" si="0"/>
        <v>5</v>
      </c>
      <c r="F26" s="35">
        <f t="shared" si="1"/>
        <v>149940</v>
      </c>
      <c r="G26" s="35">
        <f t="shared" si="2"/>
        <v>12495</v>
      </c>
    </row>
    <row r="27" spans="2:7" x14ac:dyDescent="0.25">
      <c r="B27" s="33" t="s">
        <v>85</v>
      </c>
      <c r="C27" s="35">
        <v>58643200</v>
      </c>
      <c r="D27" s="35">
        <v>0</v>
      </c>
      <c r="E27" s="35">
        <f t="shared" si="0"/>
        <v>10</v>
      </c>
      <c r="F27" s="35">
        <f t="shared" si="1"/>
        <v>5864320</v>
      </c>
      <c r="G27" s="35">
        <f t="shared" si="2"/>
        <v>488693.33333333331</v>
      </c>
    </row>
    <row r="28" spans="2:7" x14ac:dyDescent="0.25">
      <c r="B28" s="33" t="s">
        <v>86</v>
      </c>
      <c r="C28" s="35">
        <v>107940</v>
      </c>
      <c r="D28" s="35">
        <v>0</v>
      </c>
      <c r="E28" s="35">
        <f t="shared" si="0"/>
        <v>20</v>
      </c>
      <c r="F28" s="35">
        <f t="shared" si="1"/>
        <v>5397</v>
      </c>
      <c r="G28" s="35">
        <f t="shared" si="2"/>
        <v>449.75</v>
      </c>
    </row>
    <row r="29" spans="2:7" x14ac:dyDescent="0.25">
      <c r="B29" s="33" t="s">
        <v>87</v>
      </c>
      <c r="C29" s="35">
        <v>120000</v>
      </c>
      <c r="D29" s="35">
        <v>0</v>
      </c>
      <c r="E29" s="35">
        <f t="shared" si="0"/>
        <v>10</v>
      </c>
      <c r="F29" s="35">
        <f t="shared" si="1"/>
        <v>12000</v>
      </c>
      <c r="G29" s="35">
        <f t="shared" si="2"/>
        <v>1000</v>
      </c>
    </row>
    <row r="30" spans="2:7" x14ac:dyDescent="0.25">
      <c r="B30" s="33" t="s">
        <v>88</v>
      </c>
      <c r="C30" s="35">
        <v>2849700</v>
      </c>
      <c r="D30" s="35">
        <v>0</v>
      </c>
      <c r="E30" s="35">
        <f t="shared" si="0"/>
        <v>10</v>
      </c>
      <c r="F30" s="35">
        <f t="shared" si="1"/>
        <v>284970</v>
      </c>
      <c r="G30" s="35">
        <f t="shared" si="2"/>
        <v>23747.5</v>
      </c>
    </row>
    <row r="31" spans="2:7" x14ac:dyDescent="0.25">
      <c r="B31" s="33" t="s">
        <v>79</v>
      </c>
      <c r="C31" s="35">
        <v>1439400</v>
      </c>
      <c r="D31" s="35">
        <v>0</v>
      </c>
      <c r="E31" s="35">
        <f t="shared" si="0"/>
        <v>5</v>
      </c>
      <c r="F31" s="35">
        <f t="shared" si="1"/>
        <v>287880</v>
      </c>
      <c r="G31" s="35">
        <f t="shared" si="2"/>
        <v>23990</v>
      </c>
    </row>
    <row r="32" spans="2:7" x14ac:dyDescent="0.25">
      <c r="B32" s="36" t="s">
        <v>28</v>
      </c>
      <c r="C32" s="37">
        <f>SUM(C21:C31)</f>
        <v>71251640</v>
      </c>
      <c r="D32" s="36"/>
      <c r="E32" s="36"/>
      <c r="F32" s="37">
        <f t="shared" ref="F32:G32" si="3">SUM(F21:F31)</f>
        <v>7773197</v>
      </c>
      <c r="G32" s="37">
        <f t="shared" si="3"/>
        <v>647766.41666666663</v>
      </c>
    </row>
    <row r="35" spans="1:6" x14ac:dyDescent="0.25">
      <c r="A35" s="33" t="s">
        <v>293</v>
      </c>
      <c r="B35" s="105" t="s">
        <v>292</v>
      </c>
      <c r="C35" s="155" t="s">
        <v>290</v>
      </c>
      <c r="D35" s="155"/>
      <c r="E35" s="155"/>
      <c r="F35" s="155"/>
    </row>
    <row r="36" spans="1:6" x14ac:dyDescent="0.25">
      <c r="A36" s="33">
        <v>3</v>
      </c>
      <c r="B36" s="105" t="s">
        <v>289</v>
      </c>
      <c r="C36" s="106">
        <v>19174745.147584915</v>
      </c>
      <c r="D36" s="105"/>
      <c r="E36" s="105">
        <v>10</v>
      </c>
      <c r="F36" s="106">
        <f>+C36/E36</f>
        <v>1917474.5147584914</v>
      </c>
    </row>
    <row r="37" spans="1:6" x14ac:dyDescent="0.25">
      <c r="A37" s="33">
        <v>4</v>
      </c>
      <c r="B37" s="105" t="s">
        <v>291</v>
      </c>
      <c r="C37" s="106">
        <v>3189009.3536328101</v>
      </c>
      <c r="D37" s="105"/>
      <c r="E37" s="105">
        <v>10</v>
      </c>
      <c r="F37" s="106">
        <f t="shared" ref="F37:F38" si="4">+C37/E37</f>
        <v>318900.93536328099</v>
      </c>
    </row>
    <row r="38" spans="1:6" x14ac:dyDescent="0.25">
      <c r="A38" s="33">
        <v>5</v>
      </c>
      <c r="B38" s="105" t="s">
        <v>294</v>
      </c>
      <c r="C38" s="106">
        <v>19812998.967307299</v>
      </c>
      <c r="D38" s="105"/>
      <c r="E38" s="105">
        <v>10</v>
      </c>
      <c r="F38" s="106">
        <f t="shared" si="4"/>
        <v>1981299.8967307298</v>
      </c>
    </row>
  </sheetData>
  <mergeCells count="1">
    <mergeCell ref="C35:F35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73BE-B656-4E92-A536-6AA495D5BB87}">
  <sheetPr>
    <tabColor rgb="FF00B0F0"/>
  </sheetPr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36.5703125" customWidth="1"/>
    <col min="2" max="2" width="15.140625" bestFit="1" customWidth="1"/>
    <col min="3" max="3" width="15.5703125" style="61" bestFit="1" customWidth="1"/>
  </cols>
  <sheetData>
    <row r="1" spans="1:3" x14ac:dyDescent="0.25">
      <c r="A1" s="14" t="s">
        <v>51</v>
      </c>
      <c r="B1" s="14" t="s">
        <v>39</v>
      </c>
      <c r="C1" s="86" t="s">
        <v>253</v>
      </c>
    </row>
    <row r="2" spans="1:3" x14ac:dyDescent="0.25">
      <c r="A2" t="s">
        <v>52</v>
      </c>
      <c r="B2" s="23">
        <f>(MP!F7)*12</f>
        <v>186086460.00000003</v>
      </c>
      <c r="C2" s="61">
        <f>+Tabla3[[#This Row],[Costo total]]/12</f>
        <v>15507205.000000002</v>
      </c>
    </row>
    <row r="3" spans="1:3" x14ac:dyDescent="0.25">
      <c r="A3" t="s">
        <v>53</v>
      </c>
      <c r="B3" s="16">
        <f>+MO!W9</f>
        <v>28666239.791999996</v>
      </c>
      <c r="C3" s="61">
        <f>+Tabla3[[#This Row],[Costo total]]/12</f>
        <v>2388853.3159999996</v>
      </c>
    </row>
    <row r="4" spans="1:3" x14ac:dyDescent="0.25">
      <c r="A4" t="s">
        <v>54</v>
      </c>
      <c r="B4" s="23">
        <f>CIF!D7</f>
        <v>195948559.16799998</v>
      </c>
      <c r="C4" s="61">
        <f>+Tabla3[[#This Row],[Costo total]]/12</f>
        <v>16329046.597333333</v>
      </c>
    </row>
    <row r="5" spans="1:3" x14ac:dyDescent="0.25">
      <c r="C5" s="61">
        <f>+Tabla3[[#This Row],[Costo total]]/12</f>
        <v>0</v>
      </c>
    </row>
    <row r="6" spans="1:3" x14ac:dyDescent="0.25">
      <c r="A6" s="21" t="s">
        <v>55</v>
      </c>
      <c r="B6" s="24">
        <f>SUM(B2:B5)</f>
        <v>410701258.96000004</v>
      </c>
      <c r="C6" s="61">
        <f>+Tabla3[[#This Row],[Costo total]]/12</f>
        <v>34225104.913333334</v>
      </c>
    </row>
    <row r="7" spans="1:3" x14ac:dyDescent="0.25">
      <c r="C7" s="61">
        <f>+Tabla3[[#This Row],[Costo total]]/12</f>
        <v>0</v>
      </c>
    </row>
    <row r="8" spans="1:3" x14ac:dyDescent="0.25">
      <c r="C8" s="61">
        <f>+Tabla3[[#This Row],[Costo total]]/12</f>
        <v>0</v>
      </c>
    </row>
    <row r="9" spans="1:3" x14ac:dyDescent="0.25">
      <c r="C9" s="61">
        <f>+Tabla3[[#This Row],[Costo total]]/12</f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2187-96AB-463D-83E1-1EBBECB7BDC1}">
  <sheetPr>
    <tabColor rgb="FF00B0F0"/>
  </sheetPr>
  <dimension ref="A1:D20"/>
  <sheetViews>
    <sheetView workbookViewId="0">
      <selection activeCell="F29" sqref="F29"/>
    </sheetView>
  </sheetViews>
  <sheetFormatPr baseColWidth="10" defaultRowHeight="15" x14ac:dyDescent="0.25"/>
  <cols>
    <col min="1" max="1" width="35.5703125" customWidth="1"/>
    <col min="2" max="2" width="15.28515625" style="16" bestFit="1" customWidth="1"/>
    <col min="4" max="4" width="15.5703125" bestFit="1" customWidth="1"/>
  </cols>
  <sheetData>
    <row r="1" spans="1:4" x14ac:dyDescent="0.25">
      <c r="A1" s="18" t="s">
        <v>51</v>
      </c>
      <c r="B1" s="20" t="s">
        <v>39</v>
      </c>
    </row>
    <row r="2" spans="1:4" x14ac:dyDescent="0.25">
      <c r="A2" t="s">
        <v>57</v>
      </c>
      <c r="B2" s="16">
        <f>+'Depre - Dif'!F32</f>
        <v>7773197</v>
      </c>
    </row>
    <row r="3" spans="1:4" x14ac:dyDescent="0.25">
      <c r="A3" t="s">
        <v>296</v>
      </c>
      <c r="B3" s="16">
        <f>+ER!D23</f>
        <v>12374920</v>
      </c>
    </row>
    <row r="4" spans="1:4" x14ac:dyDescent="0.25">
      <c r="A4" s="21" t="s">
        <v>58</v>
      </c>
      <c r="B4" s="22">
        <f>SUM(B2:B3)</f>
        <v>20148117</v>
      </c>
    </row>
    <row r="6" spans="1:4" x14ac:dyDescent="0.25">
      <c r="A6" s="18" t="s">
        <v>59</v>
      </c>
    </row>
    <row r="7" spans="1:4" x14ac:dyDescent="0.25">
      <c r="A7" t="s">
        <v>60</v>
      </c>
      <c r="B7" s="16">
        <v>0</v>
      </c>
    </row>
    <row r="8" spans="1:4" x14ac:dyDescent="0.25">
      <c r="A8" t="s">
        <v>61</v>
      </c>
      <c r="B8" s="16">
        <v>10000000</v>
      </c>
    </row>
    <row r="9" spans="1:4" x14ac:dyDescent="0.25">
      <c r="A9" t="s">
        <v>62</v>
      </c>
      <c r="B9" s="16">
        <v>3300000</v>
      </c>
    </row>
    <row r="10" spans="1:4" x14ac:dyDescent="0.25">
      <c r="A10" s="21" t="s">
        <v>63</v>
      </c>
      <c r="B10" s="22">
        <f>SUM(B7:B9)</f>
        <v>13300000</v>
      </c>
    </row>
    <row r="11" spans="1:4" x14ac:dyDescent="0.25">
      <c r="A11" s="21" t="s">
        <v>64</v>
      </c>
      <c r="B11" s="22">
        <f>B10+B4</f>
        <v>33448117</v>
      </c>
    </row>
    <row r="13" spans="1:4" x14ac:dyDescent="0.25">
      <c r="D13" t="s">
        <v>254</v>
      </c>
    </row>
    <row r="14" spans="1:4" x14ac:dyDescent="0.25">
      <c r="A14" s="18" t="s">
        <v>65</v>
      </c>
      <c r="B14" s="20" t="s">
        <v>68</v>
      </c>
      <c r="D14" s="61">
        <f>+B11/12</f>
        <v>2787343.0833333335</v>
      </c>
    </row>
    <row r="15" spans="1:4" x14ac:dyDescent="0.25">
      <c r="A15" t="s">
        <v>66</v>
      </c>
      <c r="B15" s="16">
        <f>'COSTOS DE PRODUCCIÓN'!B6</f>
        <v>410701258.96000004</v>
      </c>
    </row>
    <row r="16" spans="1:4" x14ac:dyDescent="0.25">
      <c r="A16" t="s">
        <v>67</v>
      </c>
      <c r="B16" s="16">
        <f>'ADM Y VENTAS'!B11</f>
        <v>33448117</v>
      </c>
    </row>
    <row r="17" spans="1:4" x14ac:dyDescent="0.25">
      <c r="A17" s="21" t="s">
        <v>28</v>
      </c>
      <c r="B17" s="22">
        <f>B15+B16</f>
        <v>444149375.96000004</v>
      </c>
      <c r="D17" t="s">
        <v>255</v>
      </c>
    </row>
    <row r="18" spans="1:4" x14ac:dyDescent="0.25">
      <c r="D18" s="87">
        <f>+D14+'COSTOS DE PRODUCCIÓN'!C6</f>
        <v>37012447.99666667</v>
      </c>
    </row>
    <row r="20" spans="1:4" x14ac:dyDescent="0.25">
      <c r="D20">
        <f>+B15/12</f>
        <v>34225104.913333334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7CEA7-2C0B-4645-8FAD-7536540434F9}">
  <sheetPr>
    <tabColor rgb="FF92D050"/>
  </sheetPr>
  <dimension ref="A1:F37"/>
  <sheetViews>
    <sheetView workbookViewId="0">
      <selection activeCell="F39" sqref="F39"/>
    </sheetView>
  </sheetViews>
  <sheetFormatPr baseColWidth="10" defaultRowHeight="15" x14ac:dyDescent="0.25"/>
  <cols>
    <col min="1" max="1" width="44.85546875" customWidth="1"/>
    <col min="2" max="2" width="15.140625" style="16" bestFit="1" customWidth="1"/>
    <col min="3" max="3" width="13.5703125" style="16" bestFit="1" customWidth="1"/>
    <col min="4" max="4" width="14.140625" style="16" bestFit="1" customWidth="1"/>
    <col min="6" max="6" width="13.7109375" bestFit="1" customWidth="1"/>
  </cols>
  <sheetData>
    <row r="1" spans="1:4" x14ac:dyDescent="0.25">
      <c r="A1" s="14" t="s">
        <v>51</v>
      </c>
      <c r="B1" s="25" t="s">
        <v>37</v>
      </c>
      <c r="C1" s="25" t="s">
        <v>89</v>
      </c>
      <c r="D1" s="25" t="s">
        <v>90</v>
      </c>
    </row>
    <row r="2" spans="1:4" x14ac:dyDescent="0.25">
      <c r="A2" t="s">
        <v>79</v>
      </c>
      <c r="B2" s="16">
        <v>1</v>
      </c>
      <c r="C2" s="16">
        <v>1585000</v>
      </c>
      <c r="D2" s="16">
        <f>C2*B2</f>
        <v>1585000</v>
      </c>
    </row>
    <row r="3" spans="1:4" x14ac:dyDescent="0.25">
      <c r="A3" t="s">
        <v>80</v>
      </c>
      <c r="B3" s="16">
        <v>1</v>
      </c>
      <c r="C3" s="16">
        <v>4398900</v>
      </c>
      <c r="D3" s="16">
        <f t="shared" ref="D3:D12" si="0">C3*B3</f>
        <v>4398900</v>
      </c>
    </row>
    <row r="4" spans="1:4" x14ac:dyDescent="0.25">
      <c r="A4" t="s">
        <v>81</v>
      </c>
      <c r="B4" s="16">
        <v>1</v>
      </c>
      <c r="C4" s="16">
        <v>132000</v>
      </c>
      <c r="D4" s="16">
        <f t="shared" si="0"/>
        <v>132000</v>
      </c>
    </row>
    <row r="5" spans="1:4" x14ac:dyDescent="0.25">
      <c r="A5" t="s">
        <v>82</v>
      </c>
      <c r="B5" s="16">
        <v>1</v>
      </c>
      <c r="C5" s="16">
        <v>1118400</v>
      </c>
      <c r="D5" s="16">
        <f t="shared" si="0"/>
        <v>1118400</v>
      </c>
    </row>
    <row r="6" spans="1:4" x14ac:dyDescent="0.25">
      <c r="A6" t="s">
        <v>83</v>
      </c>
      <c r="B6" s="16">
        <v>1</v>
      </c>
      <c r="C6" s="16">
        <v>107400</v>
      </c>
      <c r="D6" s="16">
        <f t="shared" si="0"/>
        <v>107400</v>
      </c>
    </row>
    <row r="7" spans="1:4" x14ac:dyDescent="0.25">
      <c r="A7" t="s">
        <v>84</v>
      </c>
      <c r="B7" s="16">
        <v>1</v>
      </c>
      <c r="C7" s="16">
        <v>749700</v>
      </c>
      <c r="D7" s="16">
        <f t="shared" si="0"/>
        <v>749700</v>
      </c>
    </row>
    <row r="8" spans="1:4" x14ac:dyDescent="0.25">
      <c r="A8" t="s">
        <v>85</v>
      </c>
      <c r="B8" s="16">
        <v>1</v>
      </c>
      <c r="C8" s="16">
        <v>58643200</v>
      </c>
      <c r="D8" s="16">
        <f t="shared" si="0"/>
        <v>58643200</v>
      </c>
    </row>
    <row r="9" spans="1:4" x14ac:dyDescent="0.25">
      <c r="A9" t="s">
        <v>86</v>
      </c>
      <c r="B9" s="16">
        <v>1</v>
      </c>
      <c r="C9" s="16">
        <v>107940</v>
      </c>
      <c r="D9" s="16">
        <f t="shared" si="0"/>
        <v>107940</v>
      </c>
    </row>
    <row r="10" spans="1:4" x14ac:dyDescent="0.25">
      <c r="A10" t="s">
        <v>87</v>
      </c>
      <c r="B10" s="16">
        <v>1</v>
      </c>
      <c r="C10" s="16">
        <v>120000</v>
      </c>
      <c r="D10" s="16">
        <f t="shared" si="0"/>
        <v>120000</v>
      </c>
    </row>
    <row r="11" spans="1:4" x14ac:dyDescent="0.25">
      <c r="A11" t="s">
        <v>88</v>
      </c>
      <c r="B11" s="16">
        <v>1</v>
      </c>
      <c r="C11" s="16">
        <v>2849700</v>
      </c>
      <c r="D11" s="16">
        <f t="shared" si="0"/>
        <v>2849700</v>
      </c>
    </row>
    <row r="12" spans="1:4" x14ac:dyDescent="0.25">
      <c r="A12" t="s">
        <v>79</v>
      </c>
      <c r="B12" s="16">
        <v>1</v>
      </c>
      <c r="C12" s="16">
        <v>1439400</v>
      </c>
      <c r="D12" s="16">
        <f t="shared" si="0"/>
        <v>1439400</v>
      </c>
    </row>
    <row r="13" spans="1:4" x14ac:dyDescent="0.25">
      <c r="A13" s="21" t="s">
        <v>98</v>
      </c>
      <c r="B13" s="22"/>
      <c r="C13" s="22"/>
      <c r="D13" s="22">
        <f>SUM(D2:D12)</f>
        <v>71251640</v>
      </c>
    </row>
    <row r="15" spans="1:4" x14ac:dyDescent="0.25">
      <c r="A15" s="14" t="s">
        <v>99</v>
      </c>
      <c r="B15" s="25" t="s">
        <v>68</v>
      </c>
    </row>
    <row r="16" spans="1:4" x14ac:dyDescent="0.25">
      <c r="A16" t="s">
        <v>100</v>
      </c>
      <c r="B16" s="16">
        <f>D13</f>
        <v>71251640</v>
      </c>
    </row>
    <row r="17" spans="1:6" x14ac:dyDescent="0.25">
      <c r="A17" t="s">
        <v>101</v>
      </c>
      <c r="B17" s="16">
        <f>'ADM Y VENTAS'!B11+ECPV!C3</f>
        <v>41668117</v>
      </c>
    </row>
    <row r="18" spans="1:6" x14ac:dyDescent="0.25">
      <c r="A18" t="s">
        <v>102</v>
      </c>
      <c r="B18" s="16">
        <v>1</v>
      </c>
    </row>
    <row r="19" spans="1:6" x14ac:dyDescent="0.25">
      <c r="A19" s="21" t="s">
        <v>103</v>
      </c>
      <c r="B19" s="22">
        <f>B16+(B17*B18)</f>
        <v>112919757</v>
      </c>
    </row>
    <row r="21" spans="1:6" x14ac:dyDescent="0.25">
      <c r="A21" s="18" t="s">
        <v>104</v>
      </c>
      <c r="B21" s="16" t="s">
        <v>40</v>
      </c>
    </row>
    <row r="22" spans="1:6" x14ac:dyDescent="0.25">
      <c r="A22" s="14" t="s">
        <v>51</v>
      </c>
      <c r="B22" s="25" t="s">
        <v>68</v>
      </c>
    </row>
    <row r="23" spans="1:6" x14ac:dyDescent="0.25">
      <c r="A23" t="s">
        <v>105</v>
      </c>
      <c r="B23" s="16">
        <v>10000000</v>
      </c>
    </row>
    <row r="24" spans="1:6" x14ac:dyDescent="0.25">
      <c r="A24" t="s">
        <v>106</v>
      </c>
      <c r="B24" s="16">
        <v>5000000</v>
      </c>
    </row>
    <row r="25" spans="1:6" x14ac:dyDescent="0.25">
      <c r="A25" t="s">
        <v>107</v>
      </c>
      <c r="B25" s="16">
        <v>155000</v>
      </c>
    </row>
    <row r="26" spans="1:6" x14ac:dyDescent="0.25">
      <c r="A26" t="s">
        <v>108</v>
      </c>
      <c r="B26" s="16">
        <v>100000</v>
      </c>
    </row>
    <row r="27" spans="1:6" x14ac:dyDescent="0.25">
      <c r="A27" t="s">
        <v>109</v>
      </c>
      <c r="B27" s="16">
        <v>12000</v>
      </c>
      <c r="F27" s="88">
        <v>157969377</v>
      </c>
    </row>
    <row r="28" spans="1:6" x14ac:dyDescent="0.25">
      <c r="A28" t="s">
        <v>110</v>
      </c>
      <c r="B28" s="16">
        <f t="shared" ref="B28" si="1">3600+27000+27000+50000</f>
        <v>107600</v>
      </c>
    </row>
    <row r="29" spans="1:6" x14ac:dyDescent="0.25">
      <c r="A29" t="s">
        <v>56</v>
      </c>
      <c r="B29" s="16">
        <v>11500000</v>
      </c>
    </row>
    <row r="30" spans="1:6" x14ac:dyDescent="0.25">
      <c r="A30" t="s">
        <v>111</v>
      </c>
      <c r="B30" s="16">
        <v>20000000</v>
      </c>
    </row>
    <row r="31" spans="1:6" x14ac:dyDescent="0.25">
      <c r="A31" t="s">
        <v>112</v>
      </c>
      <c r="B31" s="16">
        <v>10000000</v>
      </c>
    </row>
    <row r="32" spans="1:6" x14ac:dyDescent="0.25">
      <c r="A32" t="s">
        <v>113</v>
      </c>
      <c r="B32" s="16">
        <v>5000000</v>
      </c>
    </row>
    <row r="33" spans="1:2" x14ac:dyDescent="0.25">
      <c r="A33" s="21" t="s">
        <v>114</v>
      </c>
      <c r="B33" s="22">
        <f>SUM(B23:B32)</f>
        <v>61874600</v>
      </c>
    </row>
    <row r="35" spans="1:2" x14ac:dyDescent="0.25">
      <c r="A35" s="21" t="s">
        <v>115</v>
      </c>
      <c r="B35" s="22">
        <f>B33+B19</f>
        <v>174794357</v>
      </c>
    </row>
    <row r="36" spans="1:2" x14ac:dyDescent="0.25">
      <c r="A36" t="s">
        <v>240</v>
      </c>
      <c r="B36" s="84">
        <f>+B35*1.27</f>
        <v>221988833.39000002</v>
      </c>
    </row>
    <row r="37" spans="1:2" x14ac:dyDescent="0.25">
      <c r="B37" s="16">
        <f>+B35*0.27</f>
        <v>47194476.390000001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BAA2-1342-4EC9-A0A4-1D7285B839B2}">
  <sheetPr>
    <tabColor rgb="FFFFFF00"/>
  </sheetPr>
  <dimension ref="A1:K33"/>
  <sheetViews>
    <sheetView workbookViewId="0">
      <selection activeCell="B2" sqref="B2"/>
    </sheetView>
  </sheetViews>
  <sheetFormatPr baseColWidth="10" defaultRowHeight="15" x14ac:dyDescent="0.25"/>
  <cols>
    <col min="1" max="1" width="19.5703125" bestFit="1" customWidth="1"/>
    <col min="2" max="2" width="16.7109375" bestFit="1" customWidth="1"/>
    <col min="3" max="3" width="16.28515625" bestFit="1" customWidth="1"/>
    <col min="4" max="4" width="14.5703125" bestFit="1" customWidth="1"/>
    <col min="5" max="6" width="18.5703125" bestFit="1" customWidth="1"/>
    <col min="7" max="7" width="22.5703125" customWidth="1"/>
    <col min="8" max="9" width="15.5703125" bestFit="1" customWidth="1"/>
    <col min="10" max="10" width="14.5703125" bestFit="1" customWidth="1"/>
    <col min="11" max="11" width="15.5703125" bestFit="1" customWidth="1"/>
  </cols>
  <sheetData>
    <row r="1" spans="1:10" x14ac:dyDescent="0.25">
      <c r="A1" s="18" t="s">
        <v>30</v>
      </c>
      <c r="B1" s="18" t="s">
        <v>68</v>
      </c>
      <c r="C1" s="18" t="s">
        <v>283</v>
      </c>
      <c r="D1" s="97" t="s">
        <v>202</v>
      </c>
      <c r="E1" s="23"/>
    </row>
    <row r="2" spans="1:10" x14ac:dyDescent="0.25">
      <c r="A2" t="s">
        <v>116</v>
      </c>
      <c r="B2" s="16">
        <v>121988833.39000002</v>
      </c>
      <c r="C2" s="51">
        <v>0.15</v>
      </c>
      <c r="D2" s="97">
        <f>+(Tabla10[[#This Row],[Monto ]]+B4)/(B5)*Tabla10[[#This Row],[Equity ]]</f>
        <v>8.2429033609779268E-2</v>
      </c>
    </row>
    <row r="3" spans="1:10" x14ac:dyDescent="0.25">
      <c r="A3" t="s">
        <v>117</v>
      </c>
      <c r="B3" s="16">
        <v>100000000</v>
      </c>
      <c r="C3" s="51">
        <f t="shared" ref="C3" si="0">+I10</f>
        <v>0.105</v>
      </c>
      <c r="D3" s="97">
        <f>+(Tabla10[[#This Row],[Monto ]])/(B5)*Tabla10[[#This Row],[Equity ]]*(1-0.19)</f>
        <v>3.8312737943255154E-2</v>
      </c>
    </row>
    <row r="4" spans="1:10" ht="15.75" x14ac:dyDescent="0.25">
      <c r="A4" t="s">
        <v>118</v>
      </c>
      <c r="B4" s="16">
        <v>0</v>
      </c>
      <c r="C4" s="51"/>
      <c r="D4" s="98">
        <f>+D2+D3</f>
        <v>0.12074177155303442</v>
      </c>
      <c r="E4" t="s">
        <v>238</v>
      </c>
    </row>
    <row r="5" spans="1:10" x14ac:dyDescent="0.25">
      <c r="A5" s="21" t="s">
        <v>119</v>
      </c>
      <c r="B5" s="22">
        <f>SUM(B2:B4)</f>
        <v>221988833.39000002</v>
      </c>
      <c r="C5" s="51"/>
    </row>
    <row r="7" spans="1:10" x14ac:dyDescent="0.25">
      <c r="A7" t="s">
        <v>236</v>
      </c>
    </row>
    <row r="8" spans="1:10" ht="16.5" thickBot="1" x14ac:dyDescent="0.3">
      <c r="A8" s="40" t="s">
        <v>120</v>
      </c>
      <c r="B8" s="41" t="s">
        <v>121</v>
      </c>
      <c r="C8" s="41" t="s">
        <v>234</v>
      </c>
      <c r="D8" s="41" t="s">
        <v>235</v>
      </c>
      <c r="E8" s="41" t="s">
        <v>122</v>
      </c>
      <c r="F8" s="42" t="s">
        <v>123</v>
      </c>
      <c r="H8" s="46" t="s">
        <v>124</v>
      </c>
      <c r="I8" s="47" t="s">
        <v>125</v>
      </c>
    </row>
    <row r="9" spans="1:10" ht="16.5" thickTop="1" x14ac:dyDescent="0.25">
      <c r="A9" s="43">
        <v>0</v>
      </c>
      <c r="B9" s="44"/>
      <c r="C9" s="44"/>
      <c r="D9" s="44">
        <f>+Tabla12[[#This Row],[Cuota]]-Tabla12[[#This Row],[Interes]]</f>
        <v>0</v>
      </c>
      <c r="E9" s="44">
        <v>0</v>
      </c>
      <c r="F9" s="45">
        <f>B3</f>
        <v>100000000</v>
      </c>
      <c r="H9" s="48" t="s">
        <v>126</v>
      </c>
      <c r="I9" s="23">
        <f>B3</f>
        <v>100000000</v>
      </c>
    </row>
    <row r="10" spans="1:10" ht="15.75" x14ac:dyDescent="0.25">
      <c r="A10" s="53">
        <v>1</v>
      </c>
      <c r="B10" s="55">
        <f>F9</f>
        <v>100000000</v>
      </c>
      <c r="C10" s="55">
        <f>$I$13</f>
        <v>4615701.3770435862</v>
      </c>
      <c r="D10" s="55">
        <f>+Tabla12[[#This Row],[Cuota]]-Tabla12[[#This Row],[Interes]]</f>
        <v>3780185.8086800654</v>
      </c>
      <c r="E10" s="55">
        <f>+F9*$I$11</f>
        <v>835515.56836352067</v>
      </c>
      <c r="F10" s="55">
        <f>+Tabla12[[#This Row],[Saldo inicial]]-Tabla12[[#This Row],[Amortiza]]</f>
        <v>96219814.191319928</v>
      </c>
      <c r="H10" s="49" t="s">
        <v>127</v>
      </c>
      <c r="I10" s="51">
        <v>0.105</v>
      </c>
      <c r="J10" t="s">
        <v>229</v>
      </c>
    </row>
    <row r="11" spans="1:10" ht="15.75" x14ac:dyDescent="0.25">
      <c r="A11" s="43">
        <v>2</v>
      </c>
      <c r="B11" s="55">
        <f>F10</f>
        <v>96219814.191319928</v>
      </c>
      <c r="C11" s="55">
        <f t="shared" ref="C11:C33" si="1">$I$13</f>
        <v>4615701.3770435862</v>
      </c>
      <c r="D11" s="55">
        <f>+Tabla12[[#This Row],[Cuota]]-Tabla12[[#This Row],[Interes]]</f>
        <v>3811769.8496246561</v>
      </c>
      <c r="E11" s="55">
        <f>+F10*$I$11</f>
        <v>803931.5274189302</v>
      </c>
      <c r="F11" s="55">
        <f>+Tabla12[[#This Row],[Saldo inicial]]-Tabla12[[#This Row],[Amortiza]]</f>
        <v>92408044.341695279</v>
      </c>
      <c r="H11" s="48" t="s">
        <v>231</v>
      </c>
      <c r="I11" s="51">
        <f>(NOMINAL(I10,12))/12</f>
        <v>8.355155683635207E-3</v>
      </c>
      <c r="J11" t="s">
        <v>232</v>
      </c>
    </row>
    <row r="12" spans="1:10" ht="15.75" x14ac:dyDescent="0.25">
      <c r="A12" s="53">
        <v>3</v>
      </c>
      <c r="B12" s="55">
        <f t="shared" ref="B12:B33" si="2">F11</f>
        <v>92408044.341695279</v>
      </c>
      <c r="C12" s="55">
        <f t="shared" si="1"/>
        <v>4615701.3770435862</v>
      </c>
      <c r="D12" s="55">
        <f>+Tabla12[[#This Row],[Cuota]]-Tabla12[[#This Row],[Interes]]</f>
        <v>3843617.7801484568</v>
      </c>
      <c r="E12" s="55">
        <f t="shared" ref="E12:E33" si="3">+F11*$I$11</f>
        <v>772083.59689512954</v>
      </c>
      <c r="F12" s="55">
        <f>+Tabla12[[#This Row],[Saldo inicial]]-Tabla12[[#This Row],[Amortiza]]</f>
        <v>88564426.561546817</v>
      </c>
      <c r="H12" s="48" t="s">
        <v>128</v>
      </c>
      <c r="I12">
        <v>24</v>
      </c>
      <c r="J12" t="s">
        <v>230</v>
      </c>
    </row>
    <row r="13" spans="1:10" ht="15.75" x14ac:dyDescent="0.25">
      <c r="A13" s="43">
        <v>4</v>
      </c>
      <c r="B13" s="55">
        <f t="shared" si="2"/>
        <v>88564426.561546817</v>
      </c>
      <c r="C13" s="55">
        <f t="shared" si="1"/>
        <v>4615701.3770435862</v>
      </c>
      <c r="D13" s="55">
        <f>+Tabla12[[#This Row],[Cuota]]-Tabla12[[#This Row],[Interes]]</f>
        <v>3875731.8050899855</v>
      </c>
      <c r="E13" s="55">
        <f t="shared" si="3"/>
        <v>739969.57195360074</v>
      </c>
      <c r="F13" s="55">
        <f>+Tabla12[[#This Row],[Saldo inicial]]-Tabla12[[#This Row],[Amortiza]]</f>
        <v>84688694.756456837</v>
      </c>
      <c r="H13" s="50" t="s">
        <v>129</v>
      </c>
      <c r="I13" s="52">
        <f>PMT(I11,I12,-I9)</f>
        <v>4615701.3770435862</v>
      </c>
      <c r="J13" t="s">
        <v>233</v>
      </c>
    </row>
    <row r="14" spans="1:10" ht="15.75" x14ac:dyDescent="0.25">
      <c r="A14" s="53">
        <v>5</v>
      </c>
      <c r="B14" s="55">
        <f t="shared" si="2"/>
        <v>84688694.756456837</v>
      </c>
      <c r="C14" s="55">
        <f t="shared" si="1"/>
        <v>4615701.3770435862</v>
      </c>
      <c r="D14" s="55">
        <f>+Tabla12[[#This Row],[Cuota]]-Tabla12[[#This Row],[Interes]]</f>
        <v>3908114.1477095289</v>
      </c>
      <c r="E14" s="55">
        <f t="shared" si="3"/>
        <v>707587.22933405754</v>
      </c>
      <c r="F14" s="55">
        <f>+Tabla12[[#This Row],[Saldo inicial]]-Tabla12[[#This Row],[Amortiza]]</f>
        <v>80780580.608747303</v>
      </c>
    </row>
    <row r="15" spans="1:10" ht="15.75" x14ac:dyDescent="0.25">
      <c r="A15" s="43">
        <v>6</v>
      </c>
      <c r="B15" s="55">
        <f t="shared" si="2"/>
        <v>80780580.608747303</v>
      </c>
      <c r="C15" s="55">
        <f t="shared" si="1"/>
        <v>4615701.3770435862</v>
      </c>
      <c r="D15" s="55">
        <f>+Tabla12[[#This Row],[Cuota]]-Tabla12[[#This Row],[Interes]]</f>
        <v>3940767.0498430589</v>
      </c>
      <c r="E15" s="55">
        <f t="shared" si="3"/>
        <v>674934.32720052707</v>
      </c>
      <c r="F15" s="55">
        <f>+Tabla12[[#This Row],[Saldo inicial]]-Tabla12[[#This Row],[Amortiza]]</f>
        <v>76839813.558904245</v>
      </c>
    </row>
    <row r="16" spans="1:10" ht="15.75" x14ac:dyDescent="0.25">
      <c r="A16" s="53">
        <v>7</v>
      </c>
      <c r="B16" s="55">
        <f t="shared" si="2"/>
        <v>76839813.558904245</v>
      </c>
      <c r="C16" s="55">
        <f t="shared" si="1"/>
        <v>4615701.3770435862</v>
      </c>
      <c r="D16" s="55">
        <f>+Tabla12[[#This Row],[Cuota]]-Tabla12[[#This Row],[Interes]]</f>
        <v>3973692.7720574378</v>
      </c>
      <c r="E16" s="55">
        <f t="shared" si="3"/>
        <v>642008.60498614842</v>
      </c>
      <c r="F16" s="55">
        <f>+Tabla12[[#This Row],[Saldo inicial]]-Tabla12[[#This Row],[Amortiza]]</f>
        <v>72866120.786846802</v>
      </c>
    </row>
    <row r="17" spans="1:11" ht="15.75" x14ac:dyDescent="0.25">
      <c r="A17" s="43">
        <v>8</v>
      </c>
      <c r="B17" s="55">
        <f t="shared" si="2"/>
        <v>72866120.786846802</v>
      </c>
      <c r="C17" s="55">
        <f t="shared" si="1"/>
        <v>4615701.3770435862</v>
      </c>
      <c r="D17" s="55">
        <f>+Tabla12[[#This Row],[Cuota]]-Tabla12[[#This Row],[Interes]]</f>
        <v>4006893.5938069136</v>
      </c>
      <c r="E17" s="55">
        <f t="shared" si="3"/>
        <v>608807.78323667252</v>
      </c>
      <c r="F17" s="55">
        <f>+Tabla12[[#This Row],[Saldo inicial]]-Tabla12[[#This Row],[Amortiza]]</f>
        <v>68859227.193039894</v>
      </c>
      <c r="J17" t="s">
        <v>280</v>
      </c>
      <c r="K17" t="s">
        <v>281</v>
      </c>
    </row>
    <row r="18" spans="1:11" ht="15.75" x14ac:dyDescent="0.25">
      <c r="A18" s="53">
        <v>9</v>
      </c>
      <c r="B18" s="55">
        <f t="shared" si="2"/>
        <v>68859227.193039894</v>
      </c>
      <c r="C18" s="55">
        <f t="shared" si="1"/>
        <v>4615701.3770435862</v>
      </c>
      <c r="D18" s="55">
        <f>+Tabla12[[#This Row],[Cuota]]-Tabla12[[#This Row],[Interes]]</f>
        <v>4040371.8135909308</v>
      </c>
      <c r="E18" s="55">
        <f t="shared" si="3"/>
        <v>575329.56345265522</v>
      </c>
      <c r="F18" s="55">
        <f>+Tabla12[[#This Row],[Saldo inicial]]-Tabla12[[#This Row],[Amortiza]]</f>
        <v>64818855.379448965</v>
      </c>
      <c r="H18" t="s">
        <v>227</v>
      </c>
      <c r="I18" s="55">
        <f>SUM(C10:C21)</f>
        <v>55388416.52452305</v>
      </c>
      <c r="J18" s="55">
        <f>SUM(E10:E21)</f>
        <v>7882478.2822427647</v>
      </c>
      <c r="K18" s="55">
        <f>+I18-J18</f>
        <v>47505938.242280282</v>
      </c>
    </row>
    <row r="19" spans="1:11" ht="15.75" x14ac:dyDescent="0.25">
      <c r="A19" s="43">
        <v>10</v>
      </c>
      <c r="B19" s="55">
        <f t="shared" si="2"/>
        <v>64818855.379448965</v>
      </c>
      <c r="C19" s="55">
        <f t="shared" si="1"/>
        <v>4615701.3770435862</v>
      </c>
      <c r="D19" s="55">
        <f>+Tabla12[[#This Row],[Cuota]]-Tabla12[[#This Row],[Interes]]</f>
        <v>4074129.7491132547</v>
      </c>
      <c r="E19" s="55">
        <f t="shared" si="3"/>
        <v>541571.62793033151</v>
      </c>
      <c r="F19" s="55">
        <f>+Tabla12[[#This Row],[Saldo inicial]]-Tabla12[[#This Row],[Amortiza]]</f>
        <v>60744725.630335711</v>
      </c>
      <c r="H19" t="s">
        <v>228</v>
      </c>
      <c r="I19" s="55">
        <f>SUM(C22:C33)</f>
        <v>55388416.52452305</v>
      </c>
      <c r="J19" s="55">
        <f>SUM(E22:E33)</f>
        <v>2894354.7668032823</v>
      </c>
      <c r="K19" s="55">
        <f>+I19-J19</f>
        <v>52494061.75771977</v>
      </c>
    </row>
    <row r="20" spans="1:11" ht="15.75" x14ac:dyDescent="0.25">
      <c r="A20" s="53">
        <v>11</v>
      </c>
      <c r="B20" s="55">
        <f t="shared" si="2"/>
        <v>60744725.630335711</v>
      </c>
      <c r="C20" s="55">
        <f t="shared" si="1"/>
        <v>4615701.3770435862</v>
      </c>
      <c r="D20" s="55">
        <f>+Tabla12[[#This Row],[Cuota]]-Tabla12[[#This Row],[Interes]]</f>
        <v>4108169.7374424255</v>
      </c>
      <c r="E20" s="55">
        <f t="shared" si="3"/>
        <v>507531.63960116066</v>
      </c>
      <c r="F20" s="55">
        <f>+Tabla12[[#This Row],[Saldo inicial]]-Tabla12[[#This Row],[Amortiza]]</f>
        <v>56636555.892893285</v>
      </c>
    </row>
    <row r="21" spans="1:11" ht="15.75" x14ac:dyDescent="0.25">
      <c r="A21" s="43">
        <v>12</v>
      </c>
      <c r="B21" s="55">
        <f t="shared" si="2"/>
        <v>56636555.892893285</v>
      </c>
      <c r="C21" s="55">
        <f t="shared" si="1"/>
        <v>4615701.3770435862</v>
      </c>
      <c r="D21" s="55">
        <f>+Tabla12[[#This Row],[Cuota]]-Tabla12[[#This Row],[Interes]]</f>
        <v>4142494.1351735559</v>
      </c>
      <c r="E21" s="55">
        <f t="shared" si="3"/>
        <v>473207.24187003041</v>
      </c>
      <c r="F21" s="55">
        <f>+Tabla12[[#This Row],[Saldo inicial]]-Tabla12[[#This Row],[Amortiza]]</f>
        <v>52494061.757719725</v>
      </c>
    </row>
    <row r="22" spans="1:11" ht="15.75" x14ac:dyDescent="0.25">
      <c r="A22" s="53">
        <v>13</v>
      </c>
      <c r="B22" s="55">
        <f t="shared" si="2"/>
        <v>52494061.757719725</v>
      </c>
      <c r="C22" s="55">
        <f t="shared" si="1"/>
        <v>4615701.3770435862</v>
      </c>
      <c r="D22" s="55">
        <f>+Tabla12[[#This Row],[Cuota]]-Tabla12[[#This Row],[Interes]]</f>
        <v>4177105.3185914769</v>
      </c>
      <c r="E22" s="55">
        <f t="shared" si="3"/>
        <v>438596.05845210952</v>
      </c>
      <c r="F22" s="55">
        <f>+Tabla12[[#This Row],[Saldo inicial]]-Tabla12[[#This Row],[Amortiza]]</f>
        <v>48316956.43912825</v>
      </c>
    </row>
    <row r="23" spans="1:11" ht="15.75" x14ac:dyDescent="0.25">
      <c r="A23" s="43">
        <v>14</v>
      </c>
      <c r="B23" s="55">
        <f t="shared" si="2"/>
        <v>48316956.43912825</v>
      </c>
      <c r="C23" s="55">
        <f t="shared" si="1"/>
        <v>4615701.3770435862</v>
      </c>
      <c r="D23" s="55">
        <f>+Tabla12[[#This Row],[Cuota]]-Tabla12[[#This Row],[Interes]]</f>
        <v>4212005.6838352494</v>
      </c>
      <c r="E23" s="55">
        <f t="shared" si="3"/>
        <v>403695.69320833712</v>
      </c>
      <c r="F23" s="55">
        <f>+Tabla12[[#This Row],[Saldo inicial]]-Tabla12[[#This Row],[Amortiza]]</f>
        <v>44104950.755292997</v>
      </c>
    </row>
    <row r="24" spans="1:11" ht="15.75" x14ac:dyDescent="0.25">
      <c r="A24" s="53">
        <v>15</v>
      </c>
      <c r="B24" s="55">
        <f t="shared" si="2"/>
        <v>44104950.755292997</v>
      </c>
      <c r="C24" s="55">
        <f t="shared" si="1"/>
        <v>4615701.3770435862</v>
      </c>
      <c r="D24" s="55">
        <f>+Tabla12[[#This Row],[Cuota]]-Tabla12[[#This Row],[Interes]]</f>
        <v>4247197.6470640488</v>
      </c>
      <c r="E24" s="55">
        <f t="shared" si="3"/>
        <v>368503.72997953719</v>
      </c>
      <c r="F24" s="55">
        <f>+Tabla12[[#This Row],[Saldo inicial]]-Tabla12[[#This Row],[Amortiza]]</f>
        <v>39857753.108228952</v>
      </c>
    </row>
    <row r="25" spans="1:11" ht="15.75" x14ac:dyDescent="0.25">
      <c r="A25" s="43">
        <v>16</v>
      </c>
      <c r="B25" s="55">
        <f t="shared" si="2"/>
        <v>39857753.108228952</v>
      </c>
      <c r="C25" s="55">
        <f t="shared" si="1"/>
        <v>4615701.3770435862</v>
      </c>
      <c r="D25" s="55">
        <f>+Tabla12[[#This Row],[Cuota]]-Tabla12[[#This Row],[Interes]]</f>
        <v>4282683.6446244381</v>
      </c>
      <c r="E25" s="55">
        <f t="shared" si="3"/>
        <v>333017.73241914797</v>
      </c>
      <c r="F25" s="55">
        <f>+Tabla12[[#This Row],[Saldo inicial]]-Tabla12[[#This Row],[Amortiza]]</f>
        <v>35575069.46360451</v>
      </c>
    </row>
    <row r="26" spans="1:11" ht="15.75" x14ac:dyDescent="0.25">
      <c r="A26" s="53">
        <v>17</v>
      </c>
      <c r="B26" s="55">
        <f t="shared" si="2"/>
        <v>35575069.46360451</v>
      </c>
      <c r="C26" s="55">
        <f t="shared" si="1"/>
        <v>4615701.3770435862</v>
      </c>
      <c r="D26" s="55">
        <f>+Tabla12[[#This Row],[Cuota]]-Tabla12[[#This Row],[Interes]]</f>
        <v>4318466.1332190335</v>
      </c>
      <c r="E26" s="55">
        <f t="shared" si="3"/>
        <v>297235.24382455251</v>
      </c>
      <c r="F26" s="55">
        <f>+Tabla12[[#This Row],[Saldo inicial]]-Tabla12[[#This Row],[Amortiza]]</f>
        <v>31256603.330385476</v>
      </c>
    </row>
    <row r="27" spans="1:11" ht="15.75" x14ac:dyDescent="0.25">
      <c r="A27" s="43">
        <v>18</v>
      </c>
      <c r="B27" s="55">
        <f t="shared" si="2"/>
        <v>31256603.330385476</v>
      </c>
      <c r="C27" s="55">
        <f t="shared" si="1"/>
        <v>4615701.3770435862</v>
      </c>
      <c r="D27" s="55">
        <f>+Tabla12[[#This Row],[Cuota]]-Tabla12[[#This Row],[Interes]]</f>
        <v>4354547.5900765853</v>
      </c>
      <c r="E27" s="55">
        <f t="shared" si="3"/>
        <v>261153.78696700136</v>
      </c>
      <c r="F27" s="55">
        <f>+Tabla12[[#This Row],[Saldo inicial]]-Tabla12[[#This Row],[Amortiza]]</f>
        <v>26902055.740308892</v>
      </c>
    </row>
    <row r="28" spans="1:11" ht="15.75" x14ac:dyDescent="0.25">
      <c r="A28" s="53">
        <v>19</v>
      </c>
      <c r="B28" s="55">
        <f t="shared" si="2"/>
        <v>26902055.740308892</v>
      </c>
      <c r="C28" s="55">
        <f t="shared" si="1"/>
        <v>4615701.3770435862</v>
      </c>
      <c r="D28" s="55">
        <f>+Tabla12[[#This Row],[Cuota]]-Tabla12[[#This Row],[Interes]]</f>
        <v>4390930.5131234732</v>
      </c>
      <c r="E28" s="55">
        <f t="shared" si="3"/>
        <v>224770.86392011298</v>
      </c>
      <c r="F28" s="55">
        <f>+Tabla12[[#This Row],[Saldo inicial]]-Tabla12[[#This Row],[Amortiza]]</f>
        <v>22511125.227185421</v>
      </c>
    </row>
    <row r="29" spans="1:11" ht="15.75" x14ac:dyDescent="0.25">
      <c r="A29" s="43">
        <v>20</v>
      </c>
      <c r="B29" s="55">
        <f t="shared" si="2"/>
        <v>22511125.227185421</v>
      </c>
      <c r="C29" s="55">
        <f t="shared" si="1"/>
        <v>4615701.3770435862</v>
      </c>
      <c r="D29" s="55">
        <f>+Tabla12[[#This Row],[Cuota]]-Tabla12[[#This Row],[Interes]]</f>
        <v>4427617.4211566439</v>
      </c>
      <c r="E29" s="55">
        <f t="shared" si="3"/>
        <v>188083.95588694216</v>
      </c>
      <c r="F29" s="55">
        <f>+Tabla12[[#This Row],[Saldo inicial]]-Tabla12[[#This Row],[Amortiza]]</f>
        <v>18083507.806028776</v>
      </c>
    </row>
    <row r="30" spans="1:11" ht="15.75" x14ac:dyDescent="0.25">
      <c r="A30" s="53">
        <v>21</v>
      </c>
      <c r="B30" s="55">
        <f t="shared" si="2"/>
        <v>18083507.806028776</v>
      </c>
      <c r="C30" s="55">
        <f t="shared" si="1"/>
        <v>4615701.3770435862</v>
      </c>
      <c r="D30" s="55">
        <f>+Tabla12[[#This Row],[Cuota]]-Tabla12[[#This Row],[Interes]]</f>
        <v>4464610.8540179832</v>
      </c>
      <c r="E30" s="55">
        <f t="shared" si="3"/>
        <v>151090.52302560295</v>
      </c>
      <c r="F30" s="55">
        <f>+Tabla12[[#This Row],[Saldo inicial]]-Tabla12[[#This Row],[Amortiza]]</f>
        <v>13618896.952010792</v>
      </c>
    </row>
    <row r="31" spans="1:11" ht="15.75" x14ac:dyDescent="0.25">
      <c r="A31" s="43">
        <v>22</v>
      </c>
      <c r="B31" s="55">
        <f t="shared" si="2"/>
        <v>13618896.952010792</v>
      </c>
      <c r="C31" s="55">
        <f t="shared" si="1"/>
        <v>4615701.3770435862</v>
      </c>
      <c r="D31" s="55">
        <f>+Tabla12[[#This Row],[Cuota]]-Tabla12[[#This Row],[Interes]]</f>
        <v>4501913.3727701511</v>
      </c>
      <c r="E31" s="55">
        <f t="shared" si="3"/>
        <v>113788.00427343516</v>
      </c>
      <c r="F31" s="55">
        <f>+Tabla12[[#This Row],[Saldo inicial]]-Tabla12[[#This Row],[Amortiza]]</f>
        <v>9116983.5792406406</v>
      </c>
    </row>
    <row r="32" spans="1:11" ht="15.75" x14ac:dyDescent="0.25">
      <c r="A32" s="53">
        <v>23</v>
      </c>
      <c r="B32" s="55">
        <f t="shared" si="2"/>
        <v>9116983.5792406406</v>
      </c>
      <c r="C32" s="55">
        <f t="shared" si="1"/>
        <v>4615701.3770435862</v>
      </c>
      <c r="D32" s="55">
        <f>+Tabla12[[#This Row],[Cuota]]-Tabla12[[#This Row],[Interes]]</f>
        <v>4539527.5598738845</v>
      </c>
      <c r="E32" s="55">
        <f t="shared" si="3"/>
        <v>76173.817169701288</v>
      </c>
      <c r="F32" s="55">
        <f>+Tabla12[[#This Row],[Saldo inicial]]-Tabla12[[#This Row],[Amortiza]]</f>
        <v>4577456.0193667561</v>
      </c>
    </row>
    <row r="33" spans="1:6" ht="15.75" x14ac:dyDescent="0.25">
      <c r="A33" s="54">
        <v>24</v>
      </c>
      <c r="B33" s="55">
        <f t="shared" si="2"/>
        <v>4577456.0193667561</v>
      </c>
      <c r="C33" s="55">
        <f t="shared" si="1"/>
        <v>4615701.3770435862</v>
      </c>
      <c r="D33" s="55">
        <f>+Tabla12[[#This Row],[Cuota]]-Tabla12[[#This Row],[Interes]]</f>
        <v>4577456.019366784</v>
      </c>
      <c r="E33" s="55">
        <f t="shared" si="3"/>
        <v>38245.357676802341</v>
      </c>
      <c r="F33" s="55">
        <f>+Tabla12[[#This Row],[Saldo inicial]]-Tabla12[[#This Row],[Amortiza]]</f>
        <v>-2.7939677238464355E-8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20A2-37EE-40AB-A4B1-D55FD0A49E41}">
  <sheetPr>
    <tabColor rgb="FFFFFF00"/>
  </sheetPr>
  <dimension ref="A2:K28"/>
  <sheetViews>
    <sheetView workbookViewId="0">
      <selection activeCell="J4" sqref="J4"/>
    </sheetView>
  </sheetViews>
  <sheetFormatPr baseColWidth="10" defaultRowHeight="15" x14ac:dyDescent="0.25"/>
  <cols>
    <col min="1" max="1" width="19.5703125" bestFit="1" customWidth="1"/>
    <col min="2" max="2" width="16.7109375" bestFit="1" customWidth="1"/>
    <col min="3" max="3" width="16.28515625" bestFit="1" customWidth="1"/>
    <col min="4" max="4" width="14.5703125" bestFit="1" customWidth="1"/>
    <col min="5" max="6" width="18.5703125" bestFit="1" customWidth="1"/>
    <col min="7" max="7" width="22.5703125" customWidth="1"/>
    <col min="8" max="11" width="15.5703125" bestFit="1" customWidth="1"/>
  </cols>
  <sheetData>
    <row r="2" spans="1:11" x14ac:dyDescent="0.25">
      <c r="A2" t="s">
        <v>236</v>
      </c>
    </row>
    <row r="3" spans="1:11" ht="16.5" thickBot="1" x14ac:dyDescent="0.3">
      <c r="A3" s="40" t="s">
        <v>120</v>
      </c>
      <c r="B3" s="41" t="s">
        <v>121</v>
      </c>
      <c r="C3" s="41" t="s">
        <v>234</v>
      </c>
      <c r="D3" s="41" t="s">
        <v>235</v>
      </c>
      <c r="E3" s="41" t="s">
        <v>122</v>
      </c>
      <c r="F3" s="42" t="s">
        <v>123</v>
      </c>
      <c r="H3" s="46" t="s">
        <v>124</v>
      </c>
      <c r="I3" s="47" t="s">
        <v>125</v>
      </c>
      <c r="J3" t="s">
        <v>288</v>
      </c>
    </row>
    <row r="4" spans="1:11" ht="16.5" thickTop="1" x14ac:dyDescent="0.25">
      <c r="A4" s="43">
        <v>0</v>
      </c>
      <c r="B4" s="44"/>
      <c r="C4" s="44"/>
      <c r="D4" s="44">
        <f>+Tabla1220[[#This Row],[Cuota]]-Tabla1220[[#This Row],[Interes]]</f>
        <v>0</v>
      </c>
      <c r="E4" s="44">
        <v>0</v>
      </c>
      <c r="F4" s="45">
        <f>+Tabla1118[[#This Row],[RUBRO ]]</f>
        <v>75000000</v>
      </c>
      <c r="H4" s="48" t="s">
        <v>126</v>
      </c>
      <c r="I4" s="23">
        <v>75000000</v>
      </c>
      <c r="J4" s="61">
        <f>+Tabla1118[[#This Row],[RUBRO ]]/2</f>
        <v>37500000</v>
      </c>
    </row>
    <row r="5" spans="1:11" ht="15.75" x14ac:dyDescent="0.25">
      <c r="A5" s="53">
        <v>1</v>
      </c>
      <c r="B5" s="55">
        <f>F4</f>
        <v>75000000</v>
      </c>
      <c r="C5" s="55">
        <f>$I$8</f>
        <v>3461776.0327826892</v>
      </c>
      <c r="D5" s="55">
        <f>+Tabla1220[[#This Row],[Cuota]]-Tabla1220[[#This Row],[Interes]]</f>
        <v>2835139.3565100487</v>
      </c>
      <c r="E5" s="55">
        <f t="shared" ref="E5:E28" si="0">+F4*$I$6</f>
        <v>626636.67627264047</v>
      </c>
      <c r="F5" s="55">
        <f>+Tabla1220[[#This Row],[Saldo inicial]]-Tabla1220[[#This Row],[Amortiza]]</f>
        <v>72164860.643489957</v>
      </c>
      <c r="H5" s="49" t="s">
        <v>127</v>
      </c>
      <c r="I5" s="51">
        <v>0.105</v>
      </c>
      <c r="J5" t="s">
        <v>229</v>
      </c>
    </row>
    <row r="6" spans="1:11" ht="15.75" x14ac:dyDescent="0.25">
      <c r="A6" s="43">
        <v>2</v>
      </c>
      <c r="B6" s="55">
        <f>F5</f>
        <v>72164860.643489957</v>
      </c>
      <c r="C6" s="55">
        <f t="shared" ref="C6:C28" si="1">$I$8</f>
        <v>3461776.0327826892</v>
      </c>
      <c r="D6" s="55">
        <f>+Tabla1220[[#This Row],[Cuota]]-Tabla1220[[#This Row],[Interes]]</f>
        <v>2858827.3872184912</v>
      </c>
      <c r="E6" s="55">
        <f t="shared" si="0"/>
        <v>602948.6455641978</v>
      </c>
      <c r="F6" s="55">
        <f>+Tabla1220[[#This Row],[Saldo inicial]]-Tabla1220[[#This Row],[Amortiza]]</f>
        <v>69306033.256271467</v>
      </c>
      <c r="H6" s="48" t="s">
        <v>231</v>
      </c>
      <c r="I6" s="51">
        <f>(NOMINAL(I5,12))/12</f>
        <v>8.355155683635207E-3</v>
      </c>
      <c r="J6" t="s">
        <v>232</v>
      </c>
    </row>
    <row r="7" spans="1:11" ht="15.75" x14ac:dyDescent="0.25">
      <c r="A7" s="53">
        <v>3</v>
      </c>
      <c r="B7" s="55">
        <f t="shared" ref="B7:B28" si="2">F6</f>
        <v>69306033.256271467</v>
      </c>
      <c r="C7" s="55">
        <f t="shared" si="1"/>
        <v>3461776.0327826892</v>
      </c>
      <c r="D7" s="55">
        <f>+Tabla1220[[#This Row],[Cuota]]-Tabla1220[[#This Row],[Interes]]</f>
        <v>2882713.3351113419</v>
      </c>
      <c r="E7" s="55">
        <f t="shared" si="0"/>
        <v>579062.69767134718</v>
      </c>
      <c r="F7" s="55">
        <f>+Tabla1220[[#This Row],[Saldo inicial]]-Tabla1220[[#This Row],[Amortiza]]</f>
        <v>66423319.921160124</v>
      </c>
      <c r="H7" s="48" t="s">
        <v>128</v>
      </c>
      <c r="I7">
        <v>24</v>
      </c>
      <c r="J7" t="s">
        <v>230</v>
      </c>
    </row>
    <row r="8" spans="1:11" ht="15.75" x14ac:dyDescent="0.25">
      <c r="A8" s="43">
        <v>4</v>
      </c>
      <c r="B8" s="55">
        <f t="shared" si="2"/>
        <v>66423319.921160124</v>
      </c>
      <c r="C8" s="55">
        <f t="shared" si="1"/>
        <v>3461776.0327826892</v>
      </c>
      <c r="D8" s="55">
        <f>+Tabla1220[[#This Row],[Cuota]]-Tabla1220[[#This Row],[Interes]]</f>
        <v>2906798.8538174885</v>
      </c>
      <c r="E8" s="55">
        <f t="shared" si="0"/>
        <v>554977.17896520067</v>
      </c>
      <c r="F8" s="55">
        <f>+Tabla1220[[#This Row],[Saldo inicial]]-Tabla1220[[#This Row],[Amortiza]]</f>
        <v>63516521.067342639</v>
      </c>
      <c r="H8" s="50" t="s">
        <v>129</v>
      </c>
      <c r="I8" s="52">
        <f>PMT(I6,I7,-I4)</f>
        <v>3461776.0327826892</v>
      </c>
      <c r="J8" t="s">
        <v>233</v>
      </c>
    </row>
    <row r="9" spans="1:11" ht="15.75" x14ac:dyDescent="0.25">
      <c r="A9" s="53">
        <v>5</v>
      </c>
      <c r="B9" s="55">
        <f t="shared" si="2"/>
        <v>63516521.067342639</v>
      </c>
      <c r="C9" s="55">
        <f t="shared" si="1"/>
        <v>3461776.0327826892</v>
      </c>
      <c r="D9" s="55">
        <f>+Tabla1220[[#This Row],[Cuota]]-Tabla1220[[#This Row],[Interes]]</f>
        <v>2931085.610782146</v>
      </c>
      <c r="E9" s="55">
        <f t="shared" si="0"/>
        <v>530690.42200054321</v>
      </c>
      <c r="F9" s="55">
        <f>+Tabla1220[[#This Row],[Saldo inicial]]-Tabla1220[[#This Row],[Amortiza]]</f>
        <v>60585435.456560493</v>
      </c>
    </row>
    <row r="10" spans="1:11" ht="15.75" x14ac:dyDescent="0.25">
      <c r="A10" s="43">
        <v>6</v>
      </c>
      <c r="B10" s="55">
        <f t="shared" si="2"/>
        <v>60585435.456560493</v>
      </c>
      <c r="C10" s="55">
        <f t="shared" si="1"/>
        <v>3461776.0327826892</v>
      </c>
      <c r="D10" s="55">
        <f>+Tabla1220[[#This Row],[Cuota]]-Tabla1220[[#This Row],[Interes]]</f>
        <v>2955575.287382294</v>
      </c>
      <c r="E10" s="55">
        <f t="shared" si="0"/>
        <v>506200.74540039542</v>
      </c>
      <c r="F10" s="55">
        <f>+Tabla1220[[#This Row],[Saldo inicial]]-Tabla1220[[#This Row],[Amortiza]]</f>
        <v>57629860.169178195</v>
      </c>
    </row>
    <row r="11" spans="1:11" ht="15.75" x14ac:dyDescent="0.25">
      <c r="A11" s="53">
        <v>7</v>
      </c>
      <c r="B11" s="55">
        <f t="shared" si="2"/>
        <v>57629860.169178195</v>
      </c>
      <c r="C11" s="55">
        <f t="shared" si="1"/>
        <v>3461776.0327826892</v>
      </c>
      <c r="D11" s="55">
        <f>+Tabla1220[[#This Row],[Cuota]]-Tabla1220[[#This Row],[Interes]]</f>
        <v>2980269.5790430778</v>
      </c>
      <c r="E11" s="55">
        <f t="shared" si="0"/>
        <v>481506.45373961143</v>
      </c>
      <c r="F11" s="55">
        <f>+Tabla1220[[#This Row],[Saldo inicial]]-Tabla1220[[#This Row],[Amortiza]]</f>
        <v>54649590.59013512</v>
      </c>
    </row>
    <row r="12" spans="1:11" ht="15.75" x14ac:dyDescent="0.25">
      <c r="A12" s="43">
        <v>8</v>
      </c>
      <c r="B12" s="55">
        <f t="shared" si="2"/>
        <v>54649590.59013512</v>
      </c>
      <c r="C12" s="55">
        <f t="shared" si="1"/>
        <v>3461776.0327826892</v>
      </c>
      <c r="D12" s="55">
        <f>+Tabla1220[[#This Row],[Cuota]]-Tabla1220[[#This Row],[Interes]]</f>
        <v>3005170.1953551844</v>
      </c>
      <c r="E12" s="55">
        <f t="shared" si="0"/>
        <v>456605.83742750459</v>
      </c>
      <c r="F12" s="55">
        <f>+Tabla1220[[#This Row],[Saldo inicial]]-Tabla1220[[#This Row],[Amortiza]]</f>
        <v>51644420.394779935</v>
      </c>
      <c r="J12" t="s">
        <v>280</v>
      </c>
      <c r="K12" t="s">
        <v>281</v>
      </c>
    </row>
    <row r="13" spans="1:11" ht="15.75" x14ac:dyDescent="0.25">
      <c r="A13" s="53">
        <v>9</v>
      </c>
      <c r="B13" s="55">
        <f t="shared" si="2"/>
        <v>51644420.394779935</v>
      </c>
      <c r="C13" s="55">
        <f t="shared" si="1"/>
        <v>3461776.0327826892</v>
      </c>
      <c r="D13" s="55">
        <f>+Tabla1220[[#This Row],[Cuota]]-Tabla1220[[#This Row],[Interes]]</f>
        <v>3030278.8601931976</v>
      </c>
      <c r="E13" s="55">
        <f t="shared" si="0"/>
        <v>431497.17258949159</v>
      </c>
      <c r="F13" s="55">
        <f>+Tabla1220[[#This Row],[Saldo inicial]]-Tabla1220[[#This Row],[Amortiza]]</f>
        <v>48614141.534586735</v>
      </c>
      <c r="H13" t="s">
        <v>227</v>
      </c>
      <c r="I13" s="55">
        <f>SUM(C5:C16)</f>
        <v>41541312.393392272</v>
      </c>
      <c r="J13" s="55">
        <f>SUM(E5:E16)</f>
        <v>5911858.7116820747</v>
      </c>
      <c r="K13" s="55">
        <f>+I13-J13</f>
        <v>35629453.681710199</v>
      </c>
    </row>
    <row r="14" spans="1:11" ht="15.75" x14ac:dyDescent="0.25">
      <c r="A14" s="43">
        <v>10</v>
      </c>
      <c r="B14" s="55">
        <f t="shared" si="2"/>
        <v>48614141.534586735</v>
      </c>
      <c r="C14" s="55">
        <f t="shared" si="1"/>
        <v>3461776.0327826892</v>
      </c>
      <c r="D14" s="55">
        <f>+Tabla1220[[#This Row],[Cuota]]-Tabla1220[[#This Row],[Interes]]</f>
        <v>3055597.3118349407</v>
      </c>
      <c r="E14" s="55">
        <f t="shared" si="0"/>
        <v>406178.72094774875</v>
      </c>
      <c r="F14" s="55">
        <f>+Tabla1220[[#This Row],[Saldo inicial]]-Tabla1220[[#This Row],[Amortiza]]</f>
        <v>45558544.222751796</v>
      </c>
      <c r="H14" t="s">
        <v>228</v>
      </c>
      <c r="I14" s="55">
        <f>SUM(C17:C28)</f>
        <v>41541312.393392272</v>
      </c>
      <c r="J14" s="55">
        <f>SUM(E17:E28)</f>
        <v>2170766.0751024638</v>
      </c>
      <c r="K14" s="55">
        <f>+I14-J14</f>
        <v>39370546.318289809</v>
      </c>
    </row>
    <row r="15" spans="1:11" ht="15.75" x14ac:dyDescent="0.25">
      <c r="A15" s="53">
        <v>11</v>
      </c>
      <c r="B15" s="55">
        <f t="shared" si="2"/>
        <v>45558544.222751796</v>
      </c>
      <c r="C15" s="55">
        <f t="shared" si="1"/>
        <v>3461776.0327826892</v>
      </c>
      <c r="D15" s="55">
        <f>+Tabla1220[[#This Row],[Cuota]]-Tabla1220[[#This Row],[Interes]]</f>
        <v>3081127.3030818189</v>
      </c>
      <c r="E15" s="55">
        <f t="shared" si="0"/>
        <v>380648.72970087058</v>
      </c>
      <c r="F15" s="55">
        <f>+Tabla1220[[#This Row],[Saldo inicial]]-Tabla1220[[#This Row],[Amortiza]]</f>
        <v>42477416.919669978</v>
      </c>
    </row>
    <row r="16" spans="1:11" ht="15.75" x14ac:dyDescent="0.25">
      <c r="A16" s="43">
        <v>12</v>
      </c>
      <c r="B16" s="55">
        <f t="shared" si="2"/>
        <v>42477416.919669978</v>
      </c>
      <c r="C16" s="55">
        <f t="shared" si="1"/>
        <v>3461776.0327826892</v>
      </c>
      <c r="D16" s="55">
        <f>+Tabla1220[[#This Row],[Cuota]]-Tabla1220[[#This Row],[Interes]]</f>
        <v>3106870.6013801661</v>
      </c>
      <c r="E16" s="55">
        <f t="shared" si="0"/>
        <v>354905.43140252295</v>
      </c>
      <c r="F16" s="55">
        <f>+Tabla1220[[#This Row],[Saldo inicial]]-Tabla1220[[#This Row],[Amortiza]]</f>
        <v>39370546.318289809</v>
      </c>
    </row>
    <row r="17" spans="1:6" ht="15.75" x14ac:dyDescent="0.25">
      <c r="A17" s="53">
        <v>13</v>
      </c>
      <c r="B17" s="55">
        <f t="shared" si="2"/>
        <v>39370546.318289809</v>
      </c>
      <c r="C17" s="55">
        <f t="shared" si="1"/>
        <v>3461776.0327826892</v>
      </c>
      <c r="D17" s="55">
        <f>+Tabla1220[[#This Row],[Cuota]]-Tabla1220[[#This Row],[Interes]]</f>
        <v>3132828.9889436071</v>
      </c>
      <c r="E17" s="55">
        <f t="shared" si="0"/>
        <v>328947.0438390823</v>
      </c>
      <c r="F17" s="55">
        <f>+Tabla1220[[#This Row],[Saldo inicial]]-Tabla1220[[#This Row],[Amortiza]]</f>
        <v>36237717.329346202</v>
      </c>
    </row>
    <row r="18" spans="1:6" ht="15.75" x14ac:dyDescent="0.25">
      <c r="A18" s="43">
        <v>14</v>
      </c>
      <c r="B18" s="55">
        <f t="shared" si="2"/>
        <v>36237717.329346202</v>
      </c>
      <c r="C18" s="55">
        <f t="shared" si="1"/>
        <v>3461776.0327826892</v>
      </c>
      <c r="D18" s="55">
        <f>+Tabla1220[[#This Row],[Cuota]]-Tabla1220[[#This Row],[Interes]]</f>
        <v>3159004.2628764361</v>
      </c>
      <c r="E18" s="55">
        <f t="shared" si="0"/>
        <v>302771.76990625297</v>
      </c>
      <c r="F18" s="55">
        <f>+Tabla1220[[#This Row],[Saldo inicial]]-Tabla1220[[#This Row],[Amortiza]]</f>
        <v>33078713.066469766</v>
      </c>
    </row>
    <row r="19" spans="1:6" ht="15.75" x14ac:dyDescent="0.25">
      <c r="A19" s="53">
        <v>15</v>
      </c>
      <c r="B19" s="55">
        <f t="shared" si="2"/>
        <v>33078713.066469766</v>
      </c>
      <c r="C19" s="55">
        <f t="shared" si="1"/>
        <v>3461776.0327826892</v>
      </c>
      <c r="D19" s="55">
        <f>+Tabla1220[[#This Row],[Cuota]]-Tabla1220[[#This Row],[Interes]]</f>
        <v>3185398.2352980361</v>
      </c>
      <c r="E19" s="55">
        <f t="shared" si="0"/>
        <v>276377.79748465307</v>
      </c>
      <c r="F19" s="55">
        <f>+Tabla1220[[#This Row],[Saldo inicial]]-Tabla1220[[#This Row],[Amortiza]]</f>
        <v>29893314.831171729</v>
      </c>
    </row>
    <row r="20" spans="1:6" ht="15.75" x14ac:dyDescent="0.25">
      <c r="A20" s="43">
        <v>16</v>
      </c>
      <c r="B20" s="55">
        <f t="shared" si="2"/>
        <v>29893314.831171729</v>
      </c>
      <c r="C20" s="55">
        <f t="shared" si="1"/>
        <v>3461776.0327826892</v>
      </c>
      <c r="D20" s="55">
        <f>+Tabla1220[[#This Row],[Cuota]]-Tabla1220[[#This Row],[Interes]]</f>
        <v>3212012.7334683281</v>
      </c>
      <c r="E20" s="55">
        <f t="shared" si="0"/>
        <v>249763.29931436109</v>
      </c>
      <c r="F20" s="55">
        <f>+Tabla1220[[#This Row],[Saldo inicial]]-Tabla1220[[#This Row],[Amortiza]]</f>
        <v>26681302.097703401</v>
      </c>
    </row>
    <row r="21" spans="1:6" ht="15.75" x14ac:dyDescent="0.25">
      <c r="A21" s="53">
        <v>17</v>
      </c>
      <c r="B21" s="55">
        <f t="shared" si="2"/>
        <v>26681302.097703401</v>
      </c>
      <c r="C21" s="55">
        <f t="shared" si="1"/>
        <v>3461776.0327826892</v>
      </c>
      <c r="D21" s="55">
        <f>+Tabla1220[[#This Row],[Cuota]]-Tabla1220[[#This Row],[Interes]]</f>
        <v>3238849.5999142746</v>
      </c>
      <c r="E21" s="55">
        <f t="shared" si="0"/>
        <v>222926.43286841453</v>
      </c>
      <c r="F21" s="55">
        <f>+Tabla1220[[#This Row],[Saldo inicial]]-Tabla1220[[#This Row],[Amortiza]]</f>
        <v>23442452.497789126</v>
      </c>
    </row>
    <row r="22" spans="1:6" ht="15.75" x14ac:dyDescent="0.25">
      <c r="A22" s="43">
        <v>18</v>
      </c>
      <c r="B22" s="55">
        <f t="shared" si="2"/>
        <v>23442452.497789126</v>
      </c>
      <c r="C22" s="55">
        <f t="shared" si="1"/>
        <v>3461776.0327826892</v>
      </c>
      <c r="D22" s="55">
        <f>+Tabla1220[[#This Row],[Cuota]]-Tabla1220[[#This Row],[Interes]]</f>
        <v>3265910.6925574383</v>
      </c>
      <c r="E22" s="55">
        <f t="shared" si="0"/>
        <v>195865.34022525116</v>
      </c>
      <c r="F22" s="55">
        <f>+Tabla1220[[#This Row],[Saldo inicial]]-Tabla1220[[#This Row],[Amortiza]]</f>
        <v>20176541.805231687</v>
      </c>
    </row>
    <row r="23" spans="1:6" ht="15.75" x14ac:dyDescent="0.25">
      <c r="A23" s="53">
        <v>19</v>
      </c>
      <c r="B23" s="55">
        <f t="shared" si="2"/>
        <v>20176541.805231687</v>
      </c>
      <c r="C23" s="55">
        <f t="shared" si="1"/>
        <v>3461776.0327826892</v>
      </c>
      <c r="D23" s="55">
        <f>+Tabla1220[[#This Row],[Cuota]]-Tabla1220[[#This Row],[Interes]]</f>
        <v>3293197.8848426044</v>
      </c>
      <c r="E23" s="55">
        <f t="shared" si="0"/>
        <v>168578.14794008489</v>
      </c>
      <c r="F23" s="55">
        <f>+Tabla1220[[#This Row],[Saldo inicial]]-Tabla1220[[#This Row],[Amortiza]]</f>
        <v>16883343.920389082</v>
      </c>
    </row>
    <row r="24" spans="1:6" ht="15.75" x14ac:dyDescent="0.25">
      <c r="A24" s="43">
        <v>20</v>
      </c>
      <c r="B24" s="55">
        <f t="shared" si="2"/>
        <v>16883343.920389082</v>
      </c>
      <c r="C24" s="55">
        <f t="shared" si="1"/>
        <v>3461776.0327826892</v>
      </c>
      <c r="D24" s="55">
        <f>+Tabla1220[[#This Row],[Cuota]]-Tabla1220[[#This Row],[Interes]]</f>
        <v>3320713.0658674827</v>
      </c>
      <c r="E24" s="55">
        <f t="shared" si="0"/>
        <v>141062.96691520675</v>
      </c>
      <c r="F24" s="55">
        <f>+Tabla1220[[#This Row],[Saldo inicial]]-Tabla1220[[#This Row],[Amortiza]]</f>
        <v>13562630.854521599</v>
      </c>
    </row>
    <row r="25" spans="1:6" ht="15.75" x14ac:dyDescent="0.25">
      <c r="A25" s="53">
        <v>21</v>
      </c>
      <c r="B25" s="55">
        <f t="shared" si="2"/>
        <v>13562630.854521599</v>
      </c>
      <c r="C25" s="55">
        <f t="shared" si="1"/>
        <v>3461776.0327826892</v>
      </c>
      <c r="D25" s="55">
        <f>+Tabla1220[[#This Row],[Cuota]]-Tabla1220[[#This Row],[Interes]]</f>
        <v>3348458.1405134867</v>
      </c>
      <c r="E25" s="55">
        <f t="shared" si="0"/>
        <v>113317.89226920236</v>
      </c>
      <c r="F25" s="55">
        <f>+Tabla1220[[#This Row],[Saldo inicial]]-Tabla1220[[#This Row],[Amortiza]]</f>
        <v>10214172.714008112</v>
      </c>
    </row>
    <row r="26" spans="1:6" ht="15.75" x14ac:dyDescent="0.25">
      <c r="A26" s="43">
        <v>22</v>
      </c>
      <c r="B26" s="55">
        <f t="shared" si="2"/>
        <v>10214172.714008112</v>
      </c>
      <c r="C26" s="55">
        <f t="shared" si="1"/>
        <v>3461776.0327826892</v>
      </c>
      <c r="D26" s="55">
        <f>+Tabla1220[[#This Row],[Cuota]]-Tabla1220[[#This Row],[Interes]]</f>
        <v>3376435.0295776129</v>
      </c>
      <c r="E26" s="55">
        <f t="shared" si="0"/>
        <v>85341.003205076515</v>
      </c>
      <c r="F26" s="55">
        <f>+Tabla1220[[#This Row],[Saldo inicial]]-Tabla1220[[#This Row],[Amortiza]]</f>
        <v>6837737.6844304986</v>
      </c>
    </row>
    <row r="27" spans="1:6" ht="15.75" x14ac:dyDescent="0.25">
      <c r="A27" s="53">
        <v>23</v>
      </c>
      <c r="B27" s="55">
        <f t="shared" si="2"/>
        <v>6837737.6844304986</v>
      </c>
      <c r="C27" s="55">
        <f t="shared" si="1"/>
        <v>3461776.0327826892</v>
      </c>
      <c r="D27" s="55">
        <f>+Tabla1220[[#This Row],[Cuota]]-Tabla1220[[#This Row],[Interes]]</f>
        <v>3404645.6699054129</v>
      </c>
      <c r="E27" s="55">
        <f t="shared" si="0"/>
        <v>57130.362877276122</v>
      </c>
      <c r="F27" s="55">
        <f>+Tabla1220[[#This Row],[Saldo inicial]]-Tabla1220[[#This Row],[Amortiza]]</f>
        <v>3433092.0145250857</v>
      </c>
    </row>
    <row r="28" spans="1:6" ht="15.75" x14ac:dyDescent="0.25">
      <c r="A28" s="54">
        <v>24</v>
      </c>
      <c r="B28" s="55">
        <f t="shared" si="2"/>
        <v>3433092.0145250857</v>
      </c>
      <c r="C28" s="55">
        <f t="shared" si="1"/>
        <v>3461776.0327826892</v>
      </c>
      <c r="D28" s="55">
        <f>+Tabla1220[[#This Row],[Cuota]]-Tabla1220[[#This Row],[Interes]]</f>
        <v>3433092.0145250871</v>
      </c>
      <c r="E28" s="55">
        <f t="shared" si="0"/>
        <v>28684.018257601911</v>
      </c>
      <c r="F28" s="55">
        <f>+Tabla1220[[#This Row],[Saldo inicial]]-Tabla1220[[#This Row],[Amortiza]]</f>
        <v>0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MO</vt:lpstr>
      <vt:lpstr>MP</vt:lpstr>
      <vt:lpstr>CIF</vt:lpstr>
      <vt:lpstr>Depre - Dif</vt:lpstr>
      <vt:lpstr>COSTOS DE PRODUCCIÓN</vt:lpstr>
      <vt:lpstr>ADM Y VENTAS</vt:lpstr>
      <vt:lpstr>INVERSIÓN INICIAL</vt:lpstr>
      <vt:lpstr>FINANCIAMIENTO</vt:lpstr>
      <vt:lpstr>FINANCIAMIENTO (2)</vt:lpstr>
      <vt:lpstr>FINANCIAMIENTO (3)</vt:lpstr>
      <vt:lpstr>FINANCIAMIENTO (4)</vt:lpstr>
      <vt:lpstr>PPV</vt:lpstr>
      <vt:lpstr>ECPV</vt:lpstr>
      <vt:lpstr>ER</vt:lpstr>
      <vt:lpstr>BG</vt:lpstr>
      <vt:lpstr>FC</vt:lpstr>
      <vt:lpstr>'Depre - Dif'!_Ref389811133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Parra</dc:creator>
  <cp:lastModifiedBy>GUILLERMO PALACIO</cp:lastModifiedBy>
  <dcterms:created xsi:type="dcterms:W3CDTF">2015-06-05T18:19:34Z</dcterms:created>
  <dcterms:modified xsi:type="dcterms:W3CDTF">2025-05-02T04:10:20Z</dcterms:modified>
</cp:coreProperties>
</file>