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e3a320ecb29aeec4/Escritorio/TRABAJO DE GRADO/Final 2.0/PARA ENVIAR/con protecciones/"/>
    </mc:Choice>
  </mc:AlternateContent>
  <xr:revisionPtr revIDLastSave="139" documentId="11_89C118D8E71A91944ECE80761DF04E659FCA5398" xr6:coauthVersionLast="47" xr6:coauthVersionMax="47" xr10:uidLastSave="{969C3865-5A28-416F-B269-8B2D111B8CDC}"/>
  <bookViews>
    <workbookView xWindow="-108" yWindow="-108" windowWidth="23256" windowHeight="12456" firstSheet="3" activeTab="11" xr2:uid="{00000000-000D-0000-FFFF-FFFF00000000}"/>
  </bookViews>
  <sheets>
    <sheet name="Inicio" sheetId="1" r:id="rId1"/>
    <sheet name="Manual" sheetId="2" r:id="rId2"/>
    <sheet name="Parámetros" sheetId="3" r:id="rId3"/>
    <sheet name="Buses" sheetId="4" r:id="rId4"/>
    <sheet name="Ramas" sheetId="5" r:id="rId5"/>
    <sheet name="Fuentes" sheetId="6" r:id="rId6"/>
    <sheet name="Zth_Buses" sheetId="7" r:id="rId7"/>
    <sheet name="Resultados" sheetId="8" r:id="rId8"/>
    <sheet name="Panel" sheetId="9" r:id="rId9"/>
    <sheet name="Unifilar_ANSI" sheetId="10" r:id="rId10"/>
    <sheet name="Modelo_Matricial" sheetId="12" state="hidden" r:id="rId11"/>
    <sheet name="Protecciones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8" i="13" l="1"/>
  <c r="S28" i="13"/>
  <c r="R28" i="13"/>
  <c r="Q28" i="13"/>
  <c r="P28" i="13"/>
  <c r="O28" i="13"/>
  <c r="K28" i="13"/>
  <c r="J28" i="13"/>
  <c r="I28" i="13"/>
  <c r="E28" i="13"/>
  <c r="T27" i="13"/>
  <c r="S27" i="13"/>
  <c r="R27" i="13"/>
  <c r="Q27" i="13"/>
  <c r="P27" i="13"/>
  <c r="O27" i="13"/>
  <c r="K27" i="13"/>
  <c r="J27" i="13"/>
  <c r="I27" i="13"/>
  <c r="E27" i="13"/>
  <c r="T26" i="13"/>
  <c r="S26" i="13"/>
  <c r="R26" i="13"/>
  <c r="Q26" i="13"/>
  <c r="P26" i="13"/>
  <c r="O26" i="13"/>
  <c r="K26" i="13"/>
  <c r="J26" i="13"/>
  <c r="I26" i="13"/>
  <c r="E26" i="13"/>
  <c r="T25" i="13"/>
  <c r="S25" i="13"/>
  <c r="R25" i="13"/>
  <c r="Q25" i="13"/>
  <c r="P25" i="13"/>
  <c r="O25" i="13"/>
  <c r="K25" i="13"/>
  <c r="J25" i="13"/>
  <c r="I25" i="13"/>
  <c r="E25" i="13"/>
  <c r="T24" i="13"/>
  <c r="S24" i="13"/>
  <c r="R24" i="13"/>
  <c r="Q24" i="13"/>
  <c r="P24" i="13"/>
  <c r="O24" i="13"/>
  <c r="K24" i="13"/>
  <c r="J24" i="13"/>
  <c r="I24" i="13"/>
  <c r="E24" i="13"/>
  <c r="T23" i="13"/>
  <c r="S23" i="13"/>
  <c r="R23" i="13"/>
  <c r="Q23" i="13"/>
  <c r="P23" i="13"/>
  <c r="O23" i="13"/>
  <c r="K23" i="13"/>
  <c r="J23" i="13"/>
  <c r="I23" i="13"/>
  <c r="E23" i="13"/>
  <c r="T22" i="13"/>
  <c r="S22" i="13"/>
  <c r="R22" i="13"/>
  <c r="Q22" i="13"/>
  <c r="P22" i="13"/>
  <c r="O22" i="13"/>
  <c r="K22" i="13"/>
  <c r="J22" i="13"/>
  <c r="I22" i="13"/>
  <c r="E22" i="13"/>
  <c r="T21" i="13"/>
  <c r="S21" i="13"/>
  <c r="R21" i="13"/>
  <c r="Q21" i="13"/>
  <c r="P21" i="13"/>
  <c r="O21" i="13"/>
  <c r="K21" i="13"/>
  <c r="J21" i="13"/>
  <c r="I21" i="13"/>
  <c r="E21" i="13"/>
  <c r="T20" i="13"/>
  <c r="S20" i="13"/>
  <c r="R20" i="13"/>
  <c r="Q20" i="13"/>
  <c r="P20" i="13"/>
  <c r="O20" i="13"/>
  <c r="K20" i="13"/>
  <c r="J20" i="13"/>
  <c r="I20" i="13"/>
  <c r="E20" i="13"/>
  <c r="T19" i="13"/>
  <c r="S19" i="13"/>
  <c r="R19" i="13"/>
  <c r="Q19" i="13"/>
  <c r="P19" i="13"/>
  <c r="O19" i="13"/>
  <c r="K19" i="13"/>
  <c r="J19" i="13"/>
  <c r="I19" i="13"/>
  <c r="E19" i="13"/>
  <c r="T18" i="13"/>
  <c r="S18" i="13"/>
  <c r="R18" i="13"/>
  <c r="Q18" i="13"/>
  <c r="P18" i="13"/>
  <c r="O18" i="13"/>
  <c r="K18" i="13"/>
  <c r="J18" i="13"/>
  <c r="I18" i="13"/>
  <c r="E18" i="13"/>
  <c r="T17" i="13"/>
  <c r="S17" i="13"/>
  <c r="R17" i="13"/>
  <c r="Q17" i="13"/>
  <c r="P17" i="13"/>
  <c r="O17" i="13"/>
  <c r="K17" i="13"/>
  <c r="J17" i="13"/>
  <c r="I17" i="13"/>
  <c r="E17" i="13"/>
  <c r="T16" i="13"/>
  <c r="S16" i="13"/>
  <c r="R16" i="13"/>
  <c r="Q16" i="13"/>
  <c r="P16" i="13"/>
  <c r="O16" i="13"/>
  <c r="K16" i="13"/>
  <c r="J16" i="13"/>
  <c r="I16" i="13"/>
  <c r="E16" i="13"/>
  <c r="T15" i="13"/>
  <c r="S15" i="13"/>
  <c r="R15" i="13"/>
  <c r="Q15" i="13"/>
  <c r="P15" i="13"/>
  <c r="O15" i="13"/>
  <c r="K15" i="13"/>
  <c r="J15" i="13"/>
  <c r="I15" i="13"/>
  <c r="E15" i="13"/>
  <c r="T14" i="13"/>
  <c r="S14" i="13"/>
  <c r="R14" i="13"/>
  <c r="Q14" i="13"/>
  <c r="P14" i="13"/>
  <c r="O14" i="13"/>
  <c r="K14" i="13"/>
  <c r="J14" i="13"/>
  <c r="I14" i="13"/>
  <c r="E14" i="13"/>
  <c r="T13" i="13"/>
  <c r="S13" i="13"/>
  <c r="R13" i="13"/>
  <c r="Q13" i="13"/>
  <c r="P13" i="13"/>
  <c r="O13" i="13"/>
  <c r="K13" i="13"/>
  <c r="J13" i="13"/>
  <c r="I13" i="13"/>
  <c r="E13" i="13"/>
  <c r="T12" i="13"/>
  <c r="S12" i="13"/>
  <c r="R12" i="13"/>
  <c r="Q12" i="13"/>
  <c r="P12" i="13"/>
  <c r="O12" i="13"/>
  <c r="K12" i="13"/>
  <c r="J12" i="13"/>
  <c r="I12" i="13"/>
  <c r="E12" i="13"/>
  <c r="R11" i="13"/>
  <c r="I11" i="13"/>
  <c r="I10" i="13"/>
  <c r="R10" i="13" s="1"/>
  <c r="I9" i="13"/>
  <c r="R9" i="13" s="1"/>
  <c r="Z2" i="13"/>
  <c r="G54" i="12"/>
  <c r="A54" i="12"/>
  <c r="G53" i="12"/>
  <c r="A53" i="12"/>
  <c r="G52" i="12"/>
  <c r="A52" i="12"/>
  <c r="H35" i="12"/>
  <c r="D33" i="12"/>
  <c r="G33" i="12" s="1"/>
  <c r="I32" i="12"/>
  <c r="G32" i="12"/>
  <c r="G26" i="12"/>
  <c r="A26" i="12"/>
  <c r="G25" i="12"/>
  <c r="A25" i="12"/>
  <c r="G24" i="12"/>
  <c r="A24" i="12"/>
  <c r="K7" i="12"/>
  <c r="O10" i="12" s="1"/>
  <c r="C7" i="12"/>
  <c r="B7" i="12"/>
  <c r="H7" i="12" s="1"/>
  <c r="A7" i="12"/>
  <c r="H6" i="12"/>
  <c r="D6" i="12"/>
  <c r="C6" i="12"/>
  <c r="B6" i="12"/>
  <c r="B25" i="12" s="1"/>
  <c r="A6" i="12"/>
  <c r="I5" i="12"/>
  <c r="M8" i="12" s="1"/>
  <c r="C5" i="12"/>
  <c r="B5" i="12"/>
  <c r="F5" i="12" s="1"/>
  <c r="A5" i="12"/>
  <c r="K4" i="12"/>
  <c r="I4" i="12"/>
  <c r="G4" i="12"/>
  <c r="G6" i="12" s="1"/>
  <c r="F4" i="12"/>
  <c r="K19" i="9"/>
  <c r="J19" i="9"/>
  <c r="I19" i="9"/>
  <c r="M18" i="9"/>
  <c r="K18" i="9"/>
  <c r="J18" i="9"/>
  <c r="H18" i="9"/>
  <c r="C18" i="9"/>
  <c r="K16" i="9"/>
  <c r="J16" i="9"/>
  <c r="I16" i="9"/>
  <c r="M15" i="9"/>
  <c r="K15" i="9"/>
  <c r="J15" i="9"/>
  <c r="H15" i="9"/>
  <c r="C15" i="9"/>
  <c r="G7" i="9"/>
  <c r="F7" i="9"/>
  <c r="E7" i="9"/>
  <c r="D7" i="9"/>
  <c r="C7" i="9"/>
  <c r="B7" i="9"/>
  <c r="Q14" i="8"/>
  <c r="P14" i="8"/>
  <c r="O14" i="8"/>
  <c r="N14" i="8"/>
  <c r="M14" i="8"/>
  <c r="M20" i="9" s="1"/>
  <c r="L14" i="8"/>
  <c r="L20" i="9" s="1"/>
  <c r="K14" i="8"/>
  <c r="K20" i="9" s="1"/>
  <c r="J14" i="8"/>
  <c r="J20" i="9" s="1"/>
  <c r="I14" i="8"/>
  <c r="I20" i="9" s="1"/>
  <c r="H14" i="8"/>
  <c r="H20" i="9" s="1"/>
  <c r="G14" i="8"/>
  <c r="G20" i="9" s="1"/>
  <c r="F14" i="8"/>
  <c r="F20" i="9" s="1"/>
  <c r="E14" i="8"/>
  <c r="E20" i="9" s="1"/>
  <c r="D14" i="8"/>
  <c r="D20" i="9" s="1"/>
  <c r="C14" i="8"/>
  <c r="C20" i="9" s="1"/>
  <c r="B14" i="8"/>
  <c r="B20" i="9" s="1"/>
  <c r="Q13" i="8"/>
  <c r="P13" i="8"/>
  <c r="O13" i="8"/>
  <c r="N13" i="8"/>
  <c r="M13" i="8"/>
  <c r="M19" i="9" s="1"/>
  <c r="L13" i="8"/>
  <c r="L19" i="9" s="1"/>
  <c r="K13" i="8"/>
  <c r="J13" i="8"/>
  <c r="I13" i="8"/>
  <c r="H13" i="8"/>
  <c r="H19" i="9" s="1"/>
  <c r="G13" i="8"/>
  <c r="G19" i="9" s="1"/>
  <c r="F13" i="8"/>
  <c r="F19" i="9" s="1"/>
  <c r="E13" i="8"/>
  <c r="E19" i="9" s="1"/>
  <c r="D13" i="8"/>
  <c r="D19" i="9" s="1"/>
  <c r="C13" i="8"/>
  <c r="C19" i="9" s="1"/>
  <c r="B13" i="8"/>
  <c r="B19" i="9" s="1"/>
  <c r="Q12" i="8"/>
  <c r="P12" i="8"/>
  <c r="O12" i="8"/>
  <c r="N12" i="8"/>
  <c r="M12" i="8"/>
  <c r="L12" i="8"/>
  <c r="L18" i="9" s="1"/>
  <c r="K12" i="8"/>
  <c r="J12" i="8"/>
  <c r="I12" i="8"/>
  <c r="I18" i="9" s="1"/>
  <c r="H12" i="8"/>
  <c r="G12" i="8"/>
  <c r="G18" i="9" s="1"/>
  <c r="F12" i="8"/>
  <c r="F18" i="9" s="1"/>
  <c r="E12" i="8"/>
  <c r="E18" i="9" s="1"/>
  <c r="D12" i="8"/>
  <c r="D18" i="9" s="1"/>
  <c r="C12" i="8"/>
  <c r="B12" i="8"/>
  <c r="B18" i="9" s="1"/>
  <c r="Q11" i="8"/>
  <c r="P11" i="8"/>
  <c r="O11" i="8"/>
  <c r="N11" i="8"/>
  <c r="M11" i="8"/>
  <c r="M17" i="9" s="1"/>
  <c r="L11" i="8"/>
  <c r="L17" i="9" s="1"/>
  <c r="K11" i="8"/>
  <c r="K17" i="9" s="1"/>
  <c r="J11" i="8"/>
  <c r="J17" i="9" s="1"/>
  <c r="I11" i="8"/>
  <c r="I17" i="9" s="1"/>
  <c r="H11" i="8"/>
  <c r="H17" i="9" s="1"/>
  <c r="G11" i="8"/>
  <c r="G17" i="9" s="1"/>
  <c r="F11" i="8"/>
  <c r="F17" i="9" s="1"/>
  <c r="E11" i="8"/>
  <c r="E17" i="9" s="1"/>
  <c r="D11" i="8"/>
  <c r="D17" i="9" s="1"/>
  <c r="C11" i="8"/>
  <c r="C17" i="9" s="1"/>
  <c r="B11" i="8"/>
  <c r="B17" i="9" s="1"/>
  <c r="Q10" i="8"/>
  <c r="P10" i="8"/>
  <c r="O10" i="8"/>
  <c r="N10" i="8"/>
  <c r="M10" i="8"/>
  <c r="M16" i="9" s="1"/>
  <c r="L10" i="8"/>
  <c r="L16" i="9" s="1"/>
  <c r="K10" i="8"/>
  <c r="J10" i="8"/>
  <c r="I10" i="8"/>
  <c r="H10" i="8"/>
  <c r="H16" i="9" s="1"/>
  <c r="G10" i="8"/>
  <c r="G16" i="9" s="1"/>
  <c r="F10" i="8"/>
  <c r="F16" i="9" s="1"/>
  <c r="E10" i="8"/>
  <c r="E16" i="9" s="1"/>
  <c r="D10" i="8"/>
  <c r="D16" i="9" s="1"/>
  <c r="C10" i="8"/>
  <c r="C16" i="9" s="1"/>
  <c r="B10" i="8"/>
  <c r="B16" i="9" s="1"/>
  <c r="Q9" i="8"/>
  <c r="P9" i="8"/>
  <c r="O9" i="8"/>
  <c r="N9" i="8"/>
  <c r="M9" i="8"/>
  <c r="L9" i="8"/>
  <c r="L15" i="9" s="1"/>
  <c r="K9" i="8"/>
  <c r="J9" i="8"/>
  <c r="I9" i="8"/>
  <c r="I15" i="9" s="1"/>
  <c r="H9" i="8"/>
  <c r="G9" i="8"/>
  <c r="G15" i="9" s="1"/>
  <c r="F9" i="8"/>
  <c r="F15" i="9" s="1"/>
  <c r="E9" i="8"/>
  <c r="E15" i="9" s="1"/>
  <c r="D9" i="8"/>
  <c r="D15" i="9" s="1"/>
  <c r="C9" i="8"/>
  <c r="B9" i="8"/>
  <c r="B15" i="9" s="1"/>
  <c r="Q8" i="8"/>
  <c r="P8" i="8"/>
  <c r="O8" i="8"/>
  <c r="N8" i="8"/>
  <c r="M8" i="8"/>
  <c r="M14" i="9" s="1"/>
  <c r="L8" i="8"/>
  <c r="L14" i="9" s="1"/>
  <c r="K8" i="8"/>
  <c r="K14" i="9" s="1"/>
  <c r="J8" i="8"/>
  <c r="J14" i="9" s="1"/>
  <c r="I8" i="8"/>
  <c r="I14" i="9" s="1"/>
  <c r="H8" i="8"/>
  <c r="H14" i="9" s="1"/>
  <c r="G8" i="8"/>
  <c r="G14" i="9" s="1"/>
  <c r="F8" i="8"/>
  <c r="F14" i="9" s="1"/>
  <c r="E8" i="8"/>
  <c r="E14" i="9" s="1"/>
  <c r="D8" i="8"/>
  <c r="D14" i="9" s="1"/>
  <c r="C8" i="8"/>
  <c r="C14" i="9" s="1"/>
  <c r="B8" i="8"/>
  <c r="B14" i="9" s="1"/>
  <c r="C7" i="8"/>
  <c r="C13" i="9" s="1"/>
  <c r="B7" i="8"/>
  <c r="B13" i="9" s="1"/>
  <c r="B6" i="8"/>
  <c r="B12" i="9" s="1"/>
  <c r="L14" i="7"/>
  <c r="K14" i="7"/>
  <c r="H14" i="7"/>
  <c r="G14" i="7"/>
  <c r="D14" i="7"/>
  <c r="L13" i="7"/>
  <c r="K13" i="7"/>
  <c r="H13" i="7"/>
  <c r="G13" i="7"/>
  <c r="D13" i="7"/>
  <c r="L12" i="7"/>
  <c r="K12" i="7"/>
  <c r="H12" i="7"/>
  <c r="G12" i="7"/>
  <c r="D12" i="7"/>
  <c r="L11" i="7"/>
  <c r="K11" i="7"/>
  <c r="H11" i="7"/>
  <c r="G11" i="7"/>
  <c r="D11" i="7"/>
  <c r="L10" i="7"/>
  <c r="K10" i="7"/>
  <c r="H10" i="7"/>
  <c r="G10" i="7"/>
  <c r="D10" i="7"/>
  <c r="L9" i="7"/>
  <c r="K9" i="7"/>
  <c r="H9" i="7"/>
  <c r="G9" i="7"/>
  <c r="D9" i="7"/>
  <c r="L8" i="7"/>
  <c r="K8" i="7"/>
  <c r="H8" i="7"/>
  <c r="G8" i="7"/>
  <c r="D8" i="7"/>
  <c r="D7" i="7"/>
  <c r="C7" i="7"/>
  <c r="B7" i="7"/>
  <c r="C6" i="7"/>
  <c r="B6" i="7"/>
  <c r="D5" i="7"/>
  <c r="C5" i="7"/>
  <c r="B5" i="7"/>
  <c r="B5" i="8" s="1"/>
  <c r="F14" i="1"/>
  <c r="E14" i="1"/>
  <c r="N5" i="12" l="1"/>
  <c r="Q8" i="12"/>
  <c r="B11" i="9"/>
  <c r="E11" i="13"/>
  <c r="O11" i="13" s="1"/>
  <c r="R36" i="12"/>
  <c r="O33" i="12"/>
  <c r="R9" i="12"/>
  <c r="O6" i="12"/>
  <c r="E4" i="12"/>
  <c r="G5" i="12"/>
  <c r="I7" i="12"/>
  <c r="E32" i="12"/>
  <c r="H34" i="12"/>
  <c r="H5" i="12"/>
  <c r="F32" i="12"/>
  <c r="B53" i="12"/>
  <c r="I35" i="12"/>
  <c r="D7" i="8"/>
  <c r="D13" i="9" s="1"/>
  <c r="J4" i="12"/>
  <c r="J5" i="12" s="1"/>
  <c r="K5" i="12"/>
  <c r="F6" i="12"/>
  <c r="B24" i="12"/>
  <c r="J32" i="12"/>
  <c r="J35" i="12"/>
  <c r="B26" i="12"/>
  <c r="K32" i="12"/>
  <c r="K35" i="12" s="1"/>
  <c r="C5" i="8"/>
  <c r="C11" i="9" s="1"/>
  <c r="I6" i="12"/>
  <c r="D7" i="12"/>
  <c r="E33" i="12"/>
  <c r="B52" i="12"/>
  <c r="P5" i="12"/>
  <c r="R7" i="12"/>
  <c r="F33" i="12"/>
  <c r="D34" i="12"/>
  <c r="D5" i="8"/>
  <c r="D5" i="12"/>
  <c r="K6" i="12"/>
  <c r="F7" i="12"/>
  <c r="B54" i="12"/>
  <c r="G7" i="12"/>
  <c r="H33" i="12"/>
  <c r="D35" i="12"/>
  <c r="D6" i="7"/>
  <c r="C6" i="8"/>
  <c r="C12" i="9" s="1"/>
  <c r="R35" i="12" l="1"/>
  <c r="O38" i="12"/>
  <c r="O5" i="12"/>
  <c r="R8" i="12"/>
  <c r="R10" i="12"/>
  <c r="O7" i="12"/>
  <c r="G34" i="12"/>
  <c r="F34" i="12"/>
  <c r="E34" i="12"/>
  <c r="E5" i="12"/>
  <c r="E6" i="12"/>
  <c r="E9" i="13"/>
  <c r="O9" i="13" s="1"/>
  <c r="I33" i="12"/>
  <c r="K33" i="12"/>
  <c r="J33" i="12"/>
  <c r="E35" i="12"/>
  <c r="G35" i="12"/>
  <c r="F35" i="12"/>
  <c r="D6" i="8"/>
  <c r="D12" i="9" s="1"/>
  <c r="D16" i="8"/>
  <c r="D11" i="9"/>
  <c r="O9" i="12"/>
  <c r="R6" i="12"/>
  <c r="E7" i="12"/>
  <c r="Q35" i="12"/>
  <c r="N38" i="12"/>
  <c r="Q36" i="12"/>
  <c r="N33" i="12"/>
  <c r="P35" i="12"/>
  <c r="M38" i="12"/>
  <c r="J6" i="12"/>
  <c r="M9" i="12"/>
  <c r="P6" i="12"/>
  <c r="N7" i="12"/>
  <c r="Q10" i="12"/>
  <c r="J7" i="12"/>
  <c r="N6" i="12"/>
  <c r="Q9" i="12"/>
  <c r="M33" i="12"/>
  <c r="P36" i="12"/>
  <c r="O8" i="12"/>
  <c r="R5" i="12"/>
  <c r="J34" i="12"/>
  <c r="K34" i="12"/>
  <c r="I34" i="12"/>
  <c r="N8" i="12"/>
  <c r="Q5" i="12"/>
  <c r="E10" i="13"/>
  <c r="O10" i="13" s="1"/>
  <c r="M10" i="12"/>
  <c r="P7" i="12"/>
  <c r="M5" i="12" l="1"/>
  <c r="P8" i="12"/>
  <c r="Q37" i="12"/>
  <c r="N34" i="12"/>
  <c r="Q34" i="12"/>
  <c r="N37" i="12"/>
  <c r="R37" i="12"/>
  <c r="O34" i="12"/>
  <c r="M6" i="12"/>
  <c r="P9" i="12"/>
  <c r="P37" i="12"/>
  <c r="M34" i="12"/>
  <c r="N35" i="12"/>
  <c r="Q38" i="12"/>
  <c r="Q6" i="12"/>
  <c r="N9" i="12"/>
  <c r="R34" i="12"/>
  <c r="O37" i="12"/>
  <c r="O35" i="12"/>
  <c r="R38" i="12"/>
  <c r="M35" i="12"/>
  <c r="P38" i="12"/>
  <c r="P34" i="12"/>
  <c r="M44" i="12" s="1"/>
  <c r="M37" i="12"/>
  <c r="Q33" i="12"/>
  <c r="N36" i="12"/>
  <c r="O36" i="12"/>
  <c r="R33" i="12"/>
  <c r="M7" i="12"/>
  <c r="P10" i="12"/>
  <c r="P33" i="12"/>
  <c r="P42" i="12" s="1"/>
  <c r="M36" i="12"/>
  <c r="N10" i="12"/>
  <c r="Q7" i="12"/>
  <c r="N45" i="12" l="1"/>
  <c r="R45" i="12"/>
  <c r="P44" i="12"/>
  <c r="P46" i="12"/>
  <c r="N47" i="12"/>
  <c r="R47" i="12"/>
  <c r="O43" i="12"/>
  <c r="M42" i="12"/>
  <c r="C52" i="12" s="1"/>
  <c r="Q42" i="12"/>
  <c r="Q44" i="12"/>
  <c r="Q46" i="12"/>
  <c r="P43" i="12"/>
  <c r="N42" i="12"/>
  <c r="R42" i="12"/>
  <c r="O45" i="12"/>
  <c r="O47" i="12"/>
  <c r="D54" i="12" s="1"/>
  <c r="P45" i="12"/>
  <c r="N44" i="12"/>
  <c r="R44" i="12"/>
  <c r="P47" i="12"/>
  <c r="N46" i="12"/>
  <c r="D53" i="12" s="1"/>
  <c r="R46" i="12"/>
  <c r="M46" i="12"/>
  <c r="M43" i="12"/>
  <c r="Q43" i="12"/>
  <c r="O42" i="12"/>
  <c r="M45" i="12"/>
  <c r="D52" i="12" s="1"/>
  <c r="Q45" i="12"/>
  <c r="O44" i="12"/>
  <c r="C54" i="12" s="1"/>
  <c r="O46" i="12"/>
  <c r="M47" i="12"/>
  <c r="Q47" i="12"/>
  <c r="N43" i="12"/>
  <c r="C53" i="12" s="1"/>
  <c r="R43" i="12"/>
  <c r="O19" i="12"/>
  <c r="D26" i="12" s="1"/>
  <c r="O17" i="12"/>
  <c r="O15" i="12"/>
  <c r="N19" i="12"/>
  <c r="N17" i="12"/>
  <c r="N15" i="12"/>
  <c r="C25" i="12" s="1"/>
  <c r="M19" i="12"/>
  <c r="M17" i="12"/>
  <c r="D24" i="12" s="1"/>
  <c r="M15" i="12"/>
  <c r="O14" i="12"/>
  <c r="R18" i="12"/>
  <c r="R16" i="12"/>
  <c r="R14" i="12"/>
  <c r="O18" i="12"/>
  <c r="Q18" i="12"/>
  <c r="Q16" i="12"/>
  <c r="Q14" i="12"/>
  <c r="O16" i="12"/>
  <c r="C26" i="12" s="1"/>
  <c r="R19" i="12"/>
  <c r="R15" i="12"/>
  <c r="P18" i="12"/>
  <c r="P16" i="12"/>
  <c r="P14" i="12"/>
  <c r="N18" i="12"/>
  <c r="D25" i="12" s="1"/>
  <c r="N16" i="12"/>
  <c r="N14" i="12"/>
  <c r="M18" i="12"/>
  <c r="M16" i="12"/>
  <c r="M14" i="12"/>
  <c r="C24" i="12" s="1"/>
  <c r="R17" i="12"/>
  <c r="Q19" i="12"/>
  <c r="Q17" i="12"/>
  <c r="Q15" i="12"/>
  <c r="P19" i="12"/>
  <c r="P17" i="12"/>
  <c r="P15" i="12"/>
  <c r="F26" i="12" l="1"/>
  <c r="F7" i="7"/>
  <c r="E53" i="12"/>
  <c r="I6" i="7"/>
  <c r="P6" i="8" s="1"/>
  <c r="J6" i="7"/>
  <c r="Q6" i="8" s="1"/>
  <c r="F53" i="12"/>
  <c r="E52" i="12"/>
  <c r="I5" i="7"/>
  <c r="P5" i="8" s="1"/>
  <c r="F5" i="7"/>
  <c r="F24" i="12"/>
  <c r="F6" i="7"/>
  <c r="F25" i="12"/>
  <c r="E25" i="12"/>
  <c r="E6" i="7"/>
  <c r="E24" i="12"/>
  <c r="E5" i="7"/>
  <c r="F52" i="12"/>
  <c r="J5" i="7"/>
  <c r="Q5" i="8" s="1"/>
  <c r="I7" i="7"/>
  <c r="P7" i="8" s="1"/>
  <c r="E54" i="12"/>
  <c r="E7" i="7"/>
  <c r="E26" i="12"/>
  <c r="J7" i="7"/>
  <c r="Q7" i="8" s="1"/>
  <c r="F54" i="12"/>
  <c r="H6" i="7" l="1"/>
  <c r="N6" i="8"/>
  <c r="G7" i="7"/>
  <c r="G7" i="8"/>
  <c r="G13" i="9" s="1"/>
  <c r="L7" i="7"/>
  <c r="K7" i="7"/>
  <c r="E7" i="8"/>
  <c r="O7" i="8"/>
  <c r="M7" i="8"/>
  <c r="M13" i="9" s="1"/>
  <c r="H7" i="8"/>
  <c r="H13" i="9" s="1"/>
  <c r="I7" i="8"/>
  <c r="I13" i="9" s="1"/>
  <c r="H5" i="7"/>
  <c r="I5" i="8" s="1"/>
  <c r="N5" i="8"/>
  <c r="N7" i="8"/>
  <c r="H7" i="7"/>
  <c r="L5" i="7"/>
  <c r="K5" i="7"/>
  <c r="M5" i="8"/>
  <c r="M11" i="9" s="1"/>
  <c r="G5" i="7"/>
  <c r="J5" i="8" s="1"/>
  <c r="G5" i="8"/>
  <c r="E5" i="8"/>
  <c r="O5" i="8"/>
  <c r="G6" i="7"/>
  <c r="J6" i="8" s="1"/>
  <c r="J12" i="9" s="1"/>
  <c r="K6" i="7"/>
  <c r="L6" i="7"/>
  <c r="G6" i="8"/>
  <c r="G12" i="9" s="1"/>
  <c r="O6" i="8"/>
  <c r="M6" i="8"/>
  <c r="M12" i="9" s="1"/>
  <c r="H6" i="8"/>
  <c r="H12" i="9" s="1"/>
  <c r="E6" i="8"/>
  <c r="I6" i="8"/>
  <c r="I12" i="9" s="1"/>
  <c r="I24" i="9" l="1"/>
  <c r="I16" i="8"/>
  <c r="I11" i="9"/>
  <c r="G11" i="9"/>
  <c r="G16" i="8"/>
  <c r="H5" i="8"/>
  <c r="J11" i="9"/>
  <c r="E13" i="9"/>
  <c r="F7" i="8"/>
  <c r="J11" i="13"/>
  <c r="P11" i="13" s="1"/>
  <c r="E16" i="8"/>
  <c r="F5" i="8"/>
  <c r="E11" i="9"/>
  <c r="E24" i="9"/>
  <c r="K5" i="8"/>
  <c r="J9" i="13"/>
  <c r="P9" i="13" s="1"/>
  <c r="F6" i="8"/>
  <c r="E12" i="9"/>
  <c r="J10" i="13"/>
  <c r="P10" i="13" s="1"/>
  <c r="K6" i="8"/>
  <c r="J7" i="8"/>
  <c r="J13" i="9" s="1"/>
  <c r="J16" i="8" l="1"/>
  <c r="K12" i="9"/>
  <c r="L6" i="8"/>
  <c r="L12" i="9" s="1"/>
  <c r="J24" i="9"/>
  <c r="F13" i="9"/>
  <c r="K11" i="13"/>
  <c r="Q11" i="13" s="1"/>
  <c r="S11" i="13" s="1"/>
  <c r="T11" i="13" s="1"/>
  <c r="F12" i="9"/>
  <c r="K10" i="13"/>
  <c r="Q10" i="13" s="1"/>
  <c r="S10" i="13" s="1"/>
  <c r="T10" i="13" s="1"/>
  <c r="H16" i="8"/>
  <c r="H24" i="9"/>
  <c r="H11" i="9"/>
  <c r="F11" i="9"/>
  <c r="F16" i="8"/>
  <c r="F24" i="9"/>
  <c r="K9" i="13"/>
  <c r="Q9" i="13" s="1"/>
  <c r="S9" i="13" s="1"/>
  <c r="T9" i="13" s="1"/>
  <c r="K7" i="8"/>
  <c r="K24" i="9"/>
  <c r="J7" i="9"/>
  <c r="K16" i="8"/>
  <c r="K11" i="9"/>
  <c r="L5" i="8"/>
  <c r="L11" i="9" s="1"/>
  <c r="B17" i="8" l="1"/>
  <c r="H7" i="9" s="1"/>
  <c r="L7" i="8"/>
  <c r="L13" i="9" s="1"/>
  <c r="K13" i="9"/>
  <c r="L16" i="8" l="1"/>
  <c r="C17" i="8"/>
  <c r="I7" i="9" s="1"/>
</calcChain>
</file>

<file path=xl/sharedStrings.xml><?xml version="1.0" encoding="utf-8"?>
<sst xmlns="http://schemas.openxmlformats.org/spreadsheetml/2006/main" count="498" uniqueCount="401">
  <si>
    <t xml:space="preserve">  CALCULADORA DE CORRIENTES DE CORTOCIRCUITO — IEEE Std 3002.3-2018</t>
  </si>
  <si>
    <t>Método Zbus + Componentes Simétricas · ANSI · 3F · L-G · L-L · L-L-G · Versión EDITABLE</t>
  </si>
  <si>
    <t xml:space="preserve">  IDENTIFICACIÓN DEL ESTUDIO</t>
  </si>
  <si>
    <t xml:space="preserve">  RESUMEN EJECUTIVO (se actualiza automáticamente al llenar los datos)</t>
  </si>
  <si>
    <t>Buses</t>
  </si>
  <si>
    <t>Ramas</t>
  </si>
  <si>
    <t>Fuentes</t>
  </si>
  <si>
    <t>S_base</t>
  </si>
  <si>
    <t>Factor c</t>
  </si>
  <si>
    <t>Bus crítico</t>
  </si>
  <si>
    <t>Falla gob.</t>
  </si>
  <si>
    <t>Icc máx (kA)</t>
  </si>
  <si>
    <t>I₃F máx (kA)</t>
  </si>
  <si>
    <t>I_LG máx (kA)</t>
  </si>
  <si>
    <t xml:space="preserve">  FLUJO DE TRABAJO — 7 PASOS PARA COMPLETAR EL ESTUDIO</t>
  </si>
  <si>
    <t>Paso 1</t>
  </si>
  <si>
    <t>Parámetros</t>
  </si>
  <si>
    <t>Ingrese S_base [MVA], frecuencia [Hz] y factor c.  TODOS los pu se refieren a esta base.</t>
  </si>
  <si>
    <t>Paso 2</t>
  </si>
  <si>
    <t>Registre cada bus: ID único (sin espacios), kV L-L, Activo=Sí. Máximo 10 buses.</t>
  </si>
  <si>
    <t>Paso 3</t>
  </si>
  <si>
    <t>Registre cada elemento serie (transformadores, cables, reactores) con R1/X1/R0/X0 en pu.</t>
  </si>
  <si>
    <t>Paso 4</t>
  </si>
  <si>
    <t>Registre fuentes (red, generadores, motores) como admitancias shunt al bus en pu.</t>
  </si>
  <si>
    <t>Paso 5</t>
  </si>
  <si>
    <t>Script Python</t>
  </si>
  <si>
    <t>Ejecute calc_zbus.py → calcula Ybus, invierte con numpy, escribe Rth/Xth en Zth_Buses.</t>
  </si>
  <si>
    <t>Paso 6</t>
  </si>
  <si>
    <t>Zth_Buses</t>
  </si>
  <si>
    <t>Verifique los resultados. Las celdas amarillas (Rth1,Xth1,Rth0,Xth0) son escritas por el script.</t>
  </si>
  <si>
    <t>Paso 7</t>
  </si>
  <si>
    <t>Panel / Resultados</t>
  </si>
  <si>
    <t>Consulte el PANEL para vista rápida. Resultados tiene detalle por bus y tipo de falla.</t>
  </si>
  <si>
    <t xml:space="preserve">  CONVENCIÓN DE COLORES</t>
  </si>
  <si>
    <t>🟡 FONDO AMARILLO</t>
  </si>
  <si>
    <t>Celda de entrada — el usuario DEBE completar este dato</t>
  </si>
  <si>
    <t>🟢 FONDO VERDE</t>
  </si>
  <si>
    <t>Resultado calculado automáticamente — NO modificar</t>
  </si>
  <si>
    <t>⬜ FONDO GRIS</t>
  </si>
  <si>
    <t>Celda bloqueada o vacía — no ingrese datos aquí</t>
  </si>
  <si>
    <t>🔵 FONDO AZUL</t>
  </si>
  <si>
    <t>Datos copiados de otra hoja (lectura automática)</t>
  </si>
  <si>
    <t>🔴 FONDO ROJO</t>
  </si>
  <si>
    <t>Advertencia — verifique el dato antes de continuar</t>
  </si>
  <si>
    <t xml:space="preserve">  MANUAL DE USO — Calculadora ICC · IEEE Std 3002.3-2018</t>
  </si>
  <si>
    <t>Guía completa para realizar estudios de cortocircuito en sistemas industriales y comerciales</t>
  </si>
  <si>
    <t xml:space="preserve">  §1  FUNDAMENTO TEÓRICO</t>
  </si>
  <si>
    <t>Norma de referencia</t>
  </si>
  <si>
    <t>IEEE Std 3002.3-2018: 'Recommended Practice for Conducting Short-Circuit Studies and Analysis of Industrial and Commercial Power Systems'. Estándar ANSI base para sistemas industriales y comerciales.</t>
  </si>
  <si>
    <t>Método Zbus (§6.6.5)</t>
  </si>
  <si>
    <t>Se ensambla la matriz de admitancias nodal Ybus (n×n) a partir de las impedancias de ramas (serie) y fuentes (shunt). La inversa Zbus = Ybus⁻¹ contiene como diagonal las impedancias de Thévenin de cada bus: Zth_ii = [Zbus]_{i,i}.</t>
  </si>
  <si>
    <t>Componentes simétricas (§8.7)</t>
  </si>
  <si>
    <t>El sistema trifásico se descompone en tres redes de secuencia: Positiva (Z1), Negativa (Z2=Z1 para redes pasivas) y Cero (Z0). Las fallas asimétricas se resuelven interconectando estas redes según el tipo de falla.</t>
  </si>
  <si>
    <t>Supuestos ANSI (§8.2)</t>
  </si>
  <si>
    <t>Z₂ = Z₁ (redes pasivas). Tensión prefalla = 1 pu. Impedancia de falla Zf = 0 (falla franca = máxima corriente). Cargas pasivas despreciadas. Factor de tensión c: 1.0 (nominal), 1.05 (BT diseño máx.), 1.1 (MT diseño máx.).</t>
  </si>
  <si>
    <t xml:space="preserve">  §2  FÓRMULAS DE CORRIENTES (IEEE 3002.3-2018)</t>
  </si>
  <si>
    <t>3F simétrica — §8.5.2</t>
  </si>
  <si>
    <t>I₃F = c × Ibase / |Z₁ₜₕ|     donde     Ibase = Sbase / (√3 × kV_LL)
Es la corriente máxima de primer ciclo para falla trifásica.</t>
  </si>
  <si>
    <t>Corriente pico — §5.10</t>
  </si>
  <si>
    <t>Ipico = √2 × I₃F × (1 + e^(−π / (X₁/R₁)))
Define el 'close &amp; latch duty' para interruptores. Depende del X/R del punto de falla.</t>
  </si>
  <si>
    <t>Fase-Tierra L-G — §8.7.4 Fig.66</t>
  </si>
  <si>
    <t>I_LG = 3 × c × Ibase / |Z₁ₜₕ + Z₂ₜₕ + Z₀ₜₕ|
Requiere camino de retorno de secuencia cero (neutro aterrizado).</t>
  </si>
  <si>
    <t>Fase-Fase L-L — §8.7.4 Fig.67</t>
  </si>
  <si>
    <t>I_LL = √3 × c × Ibase / |Z₁ₜₕ + Z₂ₜₕ|
Siempre es 0.866 × I₃F cuando Z₂ = Z₁.</t>
  </si>
  <si>
    <t>Doble Fase-Tierra L-L-G — §8.7.4 Fig.68</t>
  </si>
  <si>
    <t>I₁ = c×Ibase / (Z₁ + Z₂‖Z₀)     →     I_LLG = √3 × |Z₂ₜₕ| × I₁ / |Z₂ₜₕ + Z₀ₜₕ|
Generalmente produce la mayor corriente cuando Z₀ &lt; Z₁.</t>
  </si>
  <si>
    <t xml:space="preserve">  §3  CONVERSIÓN DE IMPEDANCIAS A PU</t>
  </si>
  <si>
    <t>Fórmula base</t>
  </si>
  <si>
    <t>Z_base [Ω] = (kV_LL)² / S_base_MVA     →     Z_pu = Z_Ω / Z_base
IMPORTANTE: cada bus tiene su propio Z_base según su kV_LL.</t>
  </si>
  <si>
    <t>Red / Utilidad (§7.2)</t>
  </si>
  <si>
    <t>Xs_pu = S_base / S''cc     (R ≈ 0 para redes robustas)
Ejemplo: S_base=100 MVA, S''cc=500 MVA @ 22kV → Xs = 100/500 = 0.200 pu</t>
  </si>
  <si>
    <t>Transformadores (§7.3)</t>
  </si>
  <si>
    <t>ZT_pu = (uk% / 100) × (S_base / Sn)
RT_pu = (Pcu_W / Sn_VA) × (S_base / Sn)
XT_pu = √(ZT² − RT²)
Ejemplo: Sn=500kVA, uk=4%, Pcu=19980W, Sbase=100MVA → ZT=8.000 | RT=7.992 | XT=0.358 pu</t>
  </si>
  <si>
    <t>Cables y conductores (§7.5)</t>
  </si>
  <si>
    <t>R_pu = r[Ω/km] × L[km] / Z_base_Ω
X_pu = x[Ω/km] × L[km] / Z_base_Ω
Ejemplo: XLPE 50mm², r=0.495 Ω/km, L=50m, bus 0.4kV, Sbase=100MVA:
  Z_base = 0.4²/100 = 0.0016 Ω   →   R=0.495×0.05/0.0016=15.47 pu | X=0.062×0.05/0.0016=1.94 pu</t>
  </si>
  <si>
    <t>Generadores síncronos (§7.4)</t>
  </si>
  <si>
    <t>Xg_pu = (X''d% / 100) × (S_base / Sn_gen)
Rg ≈ 0  |  Z0=0 si neutro aislado (sin retorno de secuencia cero)
Ejemplo: Sn=500kVA, X''d=12%, Sbase=100MVA → Xg = 0.12×200 = 24.00 pu</t>
  </si>
  <si>
    <t>Motores asíncronos (§7.5)</t>
  </si>
  <si>
    <t>Xm_pu = (X''% / 100) × (S_base / Sn_motor)    [X'' típica: 16.7% ≈ 1/6]
R ≈ 0  |  Z0=0 neutro no aterrizado (motor contribuye solo en primer ciclo)</t>
  </si>
  <si>
    <t>Secuencia cero — Transformadores (§7.6)</t>
  </si>
  <si>
    <t>La conexión del transformador define el camino de secuencia cero:
  • Δ-Yn (Dyn): lado Δ bloquea Z0 del lado HV. Desde LV, Z0 = ZT (shunt a tierra).
  • Yn-Yn (Yyn): Z0 = ZT. Ambos lados con neutro a tierra.
  • Δ-Δ: bloquea Z0 en ambos lados (Z0 = infinito).
  • Yn-Δ: Z0 = ZT desde lado Yn. Δ no contribuye.</t>
  </si>
  <si>
    <t xml:space="preserve">  §4  ENSAMBLAJE DE Ybus (implementado en calc_zbus.py)</t>
  </si>
  <si>
    <t>Contribución de ramas serie</t>
  </si>
  <si>
    <t>Para cada rama k entre nodos i y j con impedancia Z:
  Ybus[i,i] += 1/Z     Ybus[j,j] += 1/Z
  Ybus[i,j] -= 1/Z     Ybus[j,i] -= 1/Z</t>
  </si>
  <si>
    <t>Contribución de fuentes shunt</t>
  </si>
  <si>
    <t>Para cada fuente en nodo i con impedancia Z:
  Ybus[i,i] += 1/Z
Nota: la red de utilidad, generadores y motores se modelan como shunt al bus.</t>
  </si>
  <si>
    <t>Inversión y extracción</t>
  </si>
  <si>
    <t>Zbus = numpy.linalg.inv(Ybus)
Zth_ii = Zbus[i,i]  →  Rth = Re(Zth_ii)  |  Xth = Im(Zth_ii)
Se hace por separado para secuencia positiva (Y1) y cero (Y0).</t>
  </si>
  <si>
    <t xml:space="preserve">  §5  USO DETALLADO DE CADA HOJA</t>
  </si>
  <si>
    <t>Columna C, filas 4-9. Datos obligatorios:
  C4 = S_base [MVA] — base de todo el estudio. Valor típico: 1, 10, 100 MVA.
  C6 = Frecuencia [Hz] — 50 Hz (IEC/Europa/Latinoamérica) ó 60 Hz (ANSI/USA).
  C7 = Factor c — IEEE 3002.3 §8.2: 1.0 nominal, 1.05 BT, 1.1 MT.
  C8 = Descripción del escenario (texto libre).
  C9 = Autor / Proyecto (texto libre).</t>
  </si>
  <si>
    <t>Filas 5-14 (máx. 10 buses). Columnas B-H:
  B = Bus ID: identificador único SIN espacios (ej: B1, U22, BUS_MT, TA).
  C = Nombre descriptivo (texto libre, solo referencia).
  D = kV L-L: tensión línea-línea del bus en kV.
  E = Activo: escribir exactamente 'Sí' (con tilde) para incluir el bus.
  F, G = Rf, Xf (pu): impedancia de falla. Dejar en 0 para falla franca (bolted).
  H = Notas (texto libre).
⚠ El Bus ID debe coincidir EXACTAMENTE con lo escrito en Ramas y Fuentes.</t>
  </si>
  <si>
    <t>Filas 5-24 (máx. 20 ramas). Columnas B-J:
  B = ID Rama: nombre corto (T1, CAB1, REACT_01).
  C = Bus Desde: ID del bus de salida (coincidir con Buses!B).
  D = Bus Hasta: ID del bus de llegada (coincidir con Buses!B).
  E,F = R1, X1 (pu): impedancia secuencia positiva.
  G,H = R0, X0 (pu): impedancia secuencia cero (puede diferir de Z1).
  I = Activo: 'Sí' para incluir la rama en el estudio.
  J = Notas.
Nota: para Z1, R0=R1 y X0=X1 en cables/transformadores si se desconoce Z0.</t>
  </si>
  <si>
    <t>Filas 5-19 (máx. 15 fuentes). Las fuentes son ADMITANCIAS SHUNT al bus:
  B = Bus al que está conectada la fuente.
  C = Tipo: 'Red/Utilidad', 'Generador síncrono', 'Motor asíncrono'.
  D,E = R1, X1 (pu): secuencia positiva.
  F,G = R0, X0 (pu): secuencia cero. Dejar en 0 si neutro aislado.
  H = Activo: 'Sí' para incluir.
  I = Notas.</t>
  </si>
  <si>
    <t>Zth_Buses (celdas amarillas)</t>
  </si>
  <si>
    <t>El script Python calc_zbus.py escribe automáticamente:
  E = Rth1 (pu): parte real de la Zth de secuencia positiva.
  F = Xth1 (pu): parte imaginaria.
  I = Rth0 (pu): parte real de secuencia cero.
  J = Xth0 (pu): parte imaginaria.
Las demás columnas (B,C,D,G,H,K,L,M) tienen fórmulas automáticas.
NO es necesario modificar estas celdas manualmente si usa el script.</t>
  </si>
  <si>
    <t>Resultados y Panel</t>
  </si>
  <si>
    <t>Hojas de SOLO LECTURA — todas las celdas tienen fórmulas.
Se actualizan automáticamente al cambiar Parámetros o Zth_Buses.
Resultados: tabla completa por bus (I3F, Ipico, X/R, ILG, ILL, ILLG, Imax).
Panel: vista ejecutiva con configuración del estudio y máximos por tipo de falla.</t>
  </si>
  <si>
    <t xml:space="preserve">  §6  SCRIPT Python — calc_zbus.py</t>
  </si>
  <si>
    <t>Instalación</t>
  </si>
  <si>
    <t>Requiere Python 3.8+ con las librerías: numpy, openpyxl.
Instalar: pip install numpy openpyxl
El script se entrega junto con este archivo Excel.</t>
  </si>
  <si>
    <t>Ejecución</t>
  </si>
  <si>
    <t>Desde la terminal (CMD/PowerShell/Terminal):
  python calc_zbus.py nombre_del_archivo.xlsx
El script lee Parámetros, Buses, Ramas y Fuentes, calcula Ybus para Z1 y Z0,
invierte con numpy.linalg.inv, y escribe Rth/Xth en las celdas amarillas de Zth_Buses.</t>
  </si>
  <si>
    <t>Advertencias comunes</t>
  </si>
  <si>
    <t>⚠ Si Ybus es singular (determinante ≈ 0): falta un bus de referencia (tierra).
    Solución: al menos una fuente debe conectarse al bus de referencia.
⚠ Bus ID no encontrado: verificar que los IDs en Ramas/Fuentes coincidan EXACTAMENTE con Buses.
⚠ Activo ≠ 'Sí': el bus/rama/fuente no se incluye en el cálculo (verifica la tilde).</t>
  </si>
  <si>
    <t xml:space="preserve">  §7  INTERPRETACIÓN DE RESULTADOS</t>
  </si>
  <si>
    <t>I₃F simétrica</t>
  </si>
  <si>
    <t>Corriente RMS de primer ciclo para falla trifásica simétrica.
Se usa para: selección de capacidad interruptiva de interruptores (§9.2).</t>
  </si>
  <si>
    <t>I₃F pico (Ipico)</t>
  </si>
  <si>
    <t>Cresta del primer semiciclo asimétrico. Depende del X/R del punto de falla.
Se usa para: verificar capacidad close &amp; latch (§9.3) y fuerzas mecánicas (§5.8).</t>
  </si>
  <si>
    <t>X/R ratio</t>
  </si>
  <si>
    <t>Relación entre reactancia y resistencia de Thévenin en el punto de falla.
X/R alto → mayor asimetría → mayor corriente pico. Valores típicos: 3–50 en BT/MT.</t>
  </si>
  <si>
    <t>I_LG (Fase-Tierra)</t>
  </si>
  <si>
    <t>Mayor cuando Z₀ &lt; Z₁ (transformadores en estrella aterrizada). Puede superar I₃F.
Requiere neutro sólidamente aterrizado; si Z₀=0, la corriente es teóricamente infinita.</t>
  </si>
  <si>
    <t>I_LL (Fase-Fase)</t>
  </si>
  <si>
    <t>Siempre = 0.866 × I₃F cuando Z₂ = Z₁. Menor que I₃F en redes pasivas.</t>
  </si>
  <si>
    <t>I_LLG (Doble Fase-Tierra)</t>
  </si>
  <si>
    <t>Generalmente entre I_LL e I₃F. Puede ser la falla gobernante en buses con Z₀ muy bajo.</t>
  </si>
  <si>
    <t>Falla gobernante</t>
  </si>
  <si>
    <t>El tipo de falla que produce la mayor corriente en cada bus. Determina el 
dimensionamiento del equipo de protección en ese nodo.</t>
  </si>
  <si>
    <t xml:space="preserve">  PARÁMETROS GLOBALES — IEEE Std 3002.3-2018</t>
  </si>
  <si>
    <t>Todas las impedancias de Ramas y Fuentes deben estar en pu referidas a S_base y kV_LL de cada bus</t>
  </si>
  <si>
    <t>Parámetro</t>
  </si>
  <si>
    <t>Valor</t>
  </si>
  <si>
    <t>Unidad</t>
  </si>
  <si>
    <t>Referencia / Descripción</t>
  </si>
  <si>
    <t>Potencia base (S_base)</t>
  </si>
  <si>
    <t>MVA</t>
  </si>
  <si>
    <t>Base MVA común. Z_pu = Z_Ω × S_base / kV_LL²   — IEEE 3002.3 §6.5</t>
  </si>
  <si>
    <t>Tensión base</t>
  </si>
  <si>
    <t>kV</t>
  </si>
  <si>
    <t>Definida por bus en hoja Buses. I_base = S_base / (√3 × kV_LL)</t>
  </si>
  <si>
    <t>Frecuencia nominal</t>
  </si>
  <si>
    <t>Hz</t>
  </si>
  <si>
    <t>60 Hz (ANSI/NEC/USA) · 50 Hz (IEC/Europa/Latinoamérica)</t>
  </si>
  <si>
    <t>Factor de tensión c</t>
  </si>
  <si>
    <t>pu</t>
  </si>
  <si>
    <t>IEEE 3002.3 §8.2: c=1.0 nominal · c=1.05 (BT diseño máx.) · c=1.1 (MT diseño máx.)</t>
  </si>
  <si>
    <t>Descripción del escenario</t>
  </si>
  <si>
    <t>—</t>
  </si>
  <si>
    <t xml:space="preserve">  BUSES — Nodos del sistema</t>
  </si>
  <si>
    <t>Hasta 10 buses activos · Tensión L-L en kV · Bus ID sin espacios ni caracteres especiales</t>
  </si>
  <si>
    <t>Bus ID</t>
  </si>
  <si>
    <t>Nombre descriptivo</t>
  </si>
  <si>
    <t>kV L-L</t>
  </si>
  <si>
    <t>Activo</t>
  </si>
  <si>
    <t>Rf (pu)</t>
  </si>
  <si>
    <t>Xf (pu)</t>
  </si>
  <si>
    <t>Notas</t>
  </si>
  <si>
    <t>⚠  Bus ID: use identificadores cortos sin espacios (ej: B1, U22, TA, BUS_01). El ID debe coincidir EXACTAMENTE (mayúsculas/minúsculas) con lo escrito en Ramas y Fuentes. Activo = 'Sí' (con tilde) para incluir el bus · Rf/Xf = 0 para falla franca (bolted fault).</t>
  </si>
  <si>
    <t>Ejemplo:  B2 | Barra de baja tensión secundario T2 | 0.4 | Sí | 0 | 0 | Bus 400 V sector 2</t>
  </si>
  <si>
    <t xml:space="preserve">  RAMAS — Elementos serie entre buses (Transformadores · Cables · Reactores)</t>
  </si>
  <si>
    <t>Hasta 20 ramas activas · Impedancias en pu sobre S_base · Z1=Z2 para elementos pasivos</t>
  </si>
  <si>
    <t>ID Rama</t>
  </si>
  <si>
    <t>Bus Desde</t>
  </si>
  <si>
    <t>Bus Hasta</t>
  </si>
  <si>
    <t>R1 (pu)</t>
  </si>
  <si>
    <t>X1 (pu)</t>
  </si>
  <si>
    <t>R0 (pu)</t>
  </si>
  <si>
    <t>X0 (pu)</t>
  </si>
  <si>
    <t>⚠  Impedancias en pu sobre S_base de Parámetros!C4. Z1=Z2 para cables y transformadores. Z0 puede diferir según conexión de neutro — ver IEEE 3002.3 §7.5 y §7.10. Bus Desde/Hasta deben coincidir EXACTAMENTE con los IDs de la hoja Buses. Activo = 'Sí' para incluir.</t>
  </si>
  <si>
    <t>Ejemplo trafo 500 kVA, 22/0.4 kV, uk=4%, Pcu=19980W, Sbase=100 MVA:  ZT=uk×(Sbase/Sn)=4%×200=8.000  |  RT=Pcu/Sn×(Sbase/Sn)=7.992  |  XT=√(ZT²−RT²)=0.358 pu</t>
  </si>
  <si>
    <t>Ejemplo cable XLPE 4×50mm², L=50m, r=0.495 Ω/km, x=0.062 Ω/km, bus 0.4kV, Sbase=100MVA:  Zbase=0.4²/100=0.0016 Ω  →  R1=0.495×0.05/0.0016=15.47 pu  |  X1=0.062×0.05/0.0016=1.94 pu</t>
  </si>
  <si>
    <t>Ejemplo reactor 0.5 mH @ 50Hz, bus 0.4kV, Sbase=100MVA:  X=2π×50×0.0005=0.157 Ω  |  Zbase=0.0016 Ω  →  X_pu=0.157/0.0016=98.2 pu  |  R_pu≈0</t>
  </si>
  <si>
    <t xml:space="preserve">  FUENTES EQUIVALENTES — Admitancias Shunt al bus</t>
  </si>
  <si>
    <t>Utilidad (red) · Generadores síncronos · Motores asíncronos · Hasta 15 fuentes · Impedancias en pu</t>
  </si>
  <si>
    <t>Bus</t>
  </si>
  <si>
    <t>Tipo de fuente</t>
  </si>
  <si>
    <t>⚠  Si la fuente no tiene retorno de secuencia cero (generador con neutro aislado, motor de inducción), dejar R0 = X0 = 0. IEEE 3002.3 §7.3 (síncronas) y §7.4 (inducción). Activo = 'Sí' para incluir la fuente en el cálculo.</t>
  </si>
  <si>
    <t>Ejemplo red UTE:     Scc=500 MVA @ 22 kV, Sbase=100 MVA → Xs = 100/500 = 0.2000 pu  (R1=0, X1=0.200, R0=0, X0=0.200 si neutro aterrizado)</t>
  </si>
  <si>
    <t>Ejemplo generador:   500 kVA, 400 V, X''=12%, Sbase=100 MVA → Xg = 0.12×(100/0.5) = 24.00 pu  (R1=0, X1=24.00, R0=0, X0=0 neutro aislado)</t>
  </si>
  <si>
    <t>Ejemplo motor asínc. &gt;1000 HP: X''=16.7%, Sn=1000 kVA, Sbase=100 MVA → Xm = 0.167×(100/1) = 16.7 pu  (R1=0, X1=16.7, R0=0, X0=0)</t>
  </si>
  <si>
    <t xml:space="preserve">  IMPEDANCIAS DE THÉVENIN — Zbus diagonal = [Ybus⁻¹]ᵢᵢ</t>
  </si>
  <si>
    <t>Ibase (kA)</t>
  </si>
  <si>
    <t>Rth1 (pu)★</t>
  </si>
  <si>
    <t>Xth1 (pu)★</t>
  </si>
  <si>
    <t>Rth2=Rth1</t>
  </si>
  <si>
    <t>Xth2=Xth1</t>
  </si>
  <si>
    <t>Rth0 (pu)★</t>
  </si>
  <si>
    <t>Xth0 (pu)★</t>
  </si>
  <si>
    <t>|Z1th| (pu)</t>
  </si>
  <si>
    <t>X1/R1</t>
  </si>
  <si>
    <t>⚠  CÓMO ACTUALIZAR: (1) Complete Buses, Ramas y Fuentes. (2) Ejecute: python calc_zbus.py NOMBRE_ARCHIVO.xlsx (3) El script calcula Ybus para Z1 y Z0, invierte con numpy y escribe Rth/Xth en celdas amarillas. Rth2=Xth2 son automáticos (Z2=Z1, IEEE 3002.3 §8.2). Si bus tiene neutro aislado: Rth0=Xth0=0 → I_LG≈0 (físicamente correcto).</t>
  </si>
  <si>
    <t xml:space="preserve">  RESULTADOS — Corrientes de Cortocircuito (kA)</t>
  </si>
  <si>
    <t>IEEE Std 3002.3-2018 · ANSI · Primer ciclo · 3F · L-G · L-L · L-L-G · Solo lectura — no modificar</t>
  </si>
  <si>
    <t>Ibase
(kA)</t>
  </si>
  <si>
    <t>I₃F sim.
(kA)</t>
  </si>
  <si>
    <t>I₃F pico
(kA)</t>
  </si>
  <si>
    <t>X/R</t>
  </si>
  <si>
    <t>I_L-G
(kA)</t>
  </si>
  <si>
    <t>I_L-L
(kA)</t>
  </si>
  <si>
    <t>I_L-L-G
(kA)</t>
  </si>
  <si>
    <t>Icc MAX
(kA)</t>
  </si>
  <si>
    <t>Falla
gob.</t>
  </si>
  <si>
    <t>Rth1
(pu)</t>
  </si>
  <si>
    <t>Xth1
(pu)</t>
  </si>
  <si>
    <t>|Z1th|
(pu)</t>
  </si>
  <si>
    <t>Rth0
(pu)</t>
  </si>
  <si>
    <t>Xth0
(pu)</t>
  </si>
  <si>
    <t>FÓRMULAS APLICADAS — IEEE Std 3002.3-2018:
  • 3F simétrica §8.5.2:      I₃F = c·Ibase / |Z₁ₜₕ|
  • Corriente pico §5.10:      Ipico = √2·I₃F·(1+e^(−π/(X/R)))
  • Fase-Tierra L-G §8.7.4:   I_LG = 3·c·Ibase / |Z₁ₜₕ+Z₂ₜₕ+Z₀ₜₕ|
  • Fase-Fase L-L §8.7.4:     I_LL = √3·c·Ibase / |Z₁ₜₕ+Z₂ₜₕ|
  • Doble F-T L-L-G §8.7.4:   I_max = √3·I₁·|Z₂ₜₕ| / |Z₂ₜₕ+Z₀ₜₕ|   donde I₁=c·Ib/(Z₁+Z₂‖Z₀)
  • Zth diagonal §6.6.5:      Zth_ii = [Zbus]_ii = [Ybus⁻¹]_ii (calculado en Python/numpy)
  • Supuestos ANSI §8.2:      Z₂=Z₁ · V_prefalla=1pu · Zf=0 (falla franca) · cargas despreciadas</t>
  </si>
  <si>
    <t xml:space="preserve">  PANEL DE RESULTADOS — IEEE Std 3002.3-2018</t>
  </si>
  <si>
    <t>Vista unificada · Corrientes de cortocircuito · Todos los buses · Solo lectura</t>
  </si>
  <si>
    <t xml:space="preserve">  CONFIGURACIÓN DEL ESTUDIO</t>
  </si>
  <si>
    <t>S_base (MVA)</t>
  </si>
  <si>
    <t>Frec. (Hz)</t>
  </si>
  <si>
    <t>Buses activos</t>
  </si>
  <si>
    <t>Ramas activas</t>
  </si>
  <si>
    <t>Fuentes activas</t>
  </si>
  <si>
    <t>Icc máx. (kA)</t>
  </si>
  <si>
    <t xml:space="preserve">  CORRIENTES DE CORTOCIRCUITO — TODOS LOS BUSES (kA)</t>
  </si>
  <si>
    <t>I₃F sim. (kA)</t>
  </si>
  <si>
    <t>I₃F pico (kA)</t>
  </si>
  <si>
    <t>I_L-G (kA)</t>
  </si>
  <si>
    <t>I_L-L (kA)</t>
  </si>
  <si>
    <t>I_L-L-G (kA)</t>
  </si>
  <si>
    <t>Icc MAX (kA)</t>
  </si>
  <si>
    <t>Rth1 (pu)</t>
  </si>
  <si>
    <t xml:space="preserve">  MÁXIMOS POR TIPO DE FALLA</t>
  </si>
  <si>
    <t>I₃F MAX</t>
  </si>
  <si>
    <t>Ipico MAX</t>
  </si>
  <si>
    <t>I_L-G MAX</t>
  </si>
  <si>
    <t>I_L-L MAX</t>
  </si>
  <si>
    <t>I_L-L-G MAX</t>
  </si>
  <si>
    <t>Icc ABS MAX</t>
  </si>
  <si>
    <t>IEEE Std 3002.3-2018 §8.7 — 3F(§8.5.2) · L-G(Fig.66) · L-L(Fig.67) · L-L-G(Fig.68) · Pico(§5.10) · Zbus=Ybus⁻¹(§6.6.5) · Z₂=Z₁(§8.2)</t>
  </si>
  <si>
    <t xml:space="preserve">  DIAGRAMA UNIFILAR — Simbología IEEE/ANSI</t>
  </si>
  <si>
    <t>Complete su diagrama en el área de abajo · Simbología IEEE Std 315-1975</t>
  </si>
  <si>
    <t>Símbolo</t>
  </si>
  <si>
    <t>Elemento</t>
  </si>
  <si>
    <t>Norma</t>
  </si>
  <si>
    <t>Descripción</t>
  </si>
  <si>
    <t>──(⊙)──(⊕)──</t>
  </si>
  <si>
    <t>Transformador 2 devanados</t>
  </si>
  <si>
    <t>IEEE 315-1975 Sym.14</t>
  </si>
  <si>
    <t>Aislamiento galvánico entre niveles de tensión</t>
  </si>
  <si>
    <t>╔Q╗</t>
  </si>
  <si>
    <t>Interruptor automático (CB)</t>
  </si>
  <si>
    <t>ANSI C37.010/C37.13</t>
  </si>
  <si>
    <t>Dispositivo de protección e interrupción de faltas</t>
  </si>
  <si>
    <t>══════</t>
  </si>
  <si>
    <t>Barra colectora (bus)</t>
  </si>
  <si>
    <t>IEEE 315-1975 Sym.03</t>
  </si>
  <si>
    <t>Nodo de conexión — tensión definida por kV L-L</t>
  </si>
  <si>
    <t>( G~ )</t>
  </si>
  <si>
    <t>Generador síncrono</t>
  </si>
  <si>
    <t>IEEE 315-1975 Sym.10</t>
  </si>
  <si>
    <t>Fuente rotante con X''d — contribuye a la falta</t>
  </si>
  <si>
    <t>▣ RED</t>
  </si>
  <si>
    <t>Red de suministro (utility)</t>
  </si>
  <si>
    <t>IEEE 3002.3 §7.2</t>
  </si>
  <si>
    <t>Equivalente Thévenin: Zs = S_base / S''cc</t>
  </si>
  <si>
    <t>─── │ ───</t>
  </si>
  <si>
    <t>Cable / conductor</t>
  </si>
  <si>
    <t>IEEE 315-1975 Sym.02</t>
  </si>
  <si>
    <t>Elemento serie con R y X en pu</t>
  </si>
  <si>
    <t>(M)</t>
  </si>
  <si>
    <t>Motor asíncrono</t>
  </si>
  <si>
    <t>IEEE 315-1975 Sym.11</t>
  </si>
  <si>
    <t>Contribuye a Icc solo en primer ciclo (X=16.7%)</t>
  </si>
  <si>
    <t>[CARGA]</t>
  </si>
  <si>
    <t>Carga pasiva</t>
  </si>
  <si>
    <t>IEEE 315-1975 Sym.34</t>
  </si>
  <si>
    <t>No contribuye a Icc en modelo simplificado §8.2</t>
  </si>
  <si>
    <t>⊗</t>
  </si>
  <si>
    <t>Reactor de corriente</t>
  </si>
  <si>
    <t>IEEE 315-1975 Sym.21</t>
  </si>
  <si>
    <t>Impedancia serie puramente inductiva</t>
  </si>
  <si>
    <t xml:space="preserve">  ÁREA DE DIBUJO — Trace su diagrama unifilar aquí usando formas de Excel o texto ASCII</t>
  </si>
  <si>
    <t>Título del estudio</t>
  </si>
  <si>
    <t>Ejercicio 3 - Cortocircuito trifásico en barras de 22 kV</t>
  </si>
  <si>
    <t>Universidad/Institución</t>
  </si>
  <si>
    <t>Autor</t>
  </si>
  <si>
    <t>BARRA2_400V</t>
  </si>
  <si>
    <t>3F</t>
  </si>
  <si>
    <t>Nota sobre fórmulas visibles</t>
  </si>
  <si>
    <t>La hoja Modelo_Matricial muestra el armado de Ybus, la representación real [G -B; B G], la inversión con MINVERSE y la extracción de la diagonal de Zbus. Al abrir el archivo, presione Ctrl+Alt+F9 si Excel no recalcula automáticamente.</t>
  </si>
  <si>
    <t>El script calc_zbus.py puede mantenerse como respaldo para automatizar y verificar, pero ya no es necesario escribir manualmente Rth/Xth para este ejercicio.</t>
  </si>
  <si>
    <t>por bus</t>
  </si>
  <si>
    <t>Ejercicio 3 - Cortocircuito en barras de 22 kV (red UTE + T1/T2 + generador)</t>
  </si>
  <si>
    <t>BUS_22KV</t>
  </si>
  <si>
    <t>Barra principal de media tensión / UTE</t>
  </si>
  <si>
    <t>Sí</t>
  </si>
  <si>
    <t>Bus solicitado para cortocircuito trifásico</t>
  </si>
  <si>
    <t>BARRA1_400V</t>
  </si>
  <si>
    <t>Barra 1 de baja tensión - secundario T1</t>
  </si>
  <si>
    <t>DB1 despreciado según enunciado</t>
  </si>
  <si>
    <t>Barra 2 de baja tensión - secundario T2 y generador</t>
  </si>
  <si>
    <t>Incluye aporte del generador de 500 kVA</t>
  </si>
  <si>
    <t>No</t>
  </si>
  <si>
    <t>T1</t>
  </si>
  <si>
    <t>Trafo 500 kVA, 22/0.4 kV, uk=4%, Pcu=19980 W</t>
  </si>
  <si>
    <t>T2</t>
  </si>
  <si>
    <t>CABLE_XLPE_TA</t>
  </si>
  <si>
    <t>TA</t>
  </si>
  <si>
    <t>Dato del enunciado; sin aporte al fallo en 22 kV y cargas/motores BT despreciados</t>
  </si>
  <si>
    <t>Red UTE Scc=500 MVA</t>
  </si>
  <si>
    <t>Xs = Sbase/Scc = 100/500 = 0.2 pu</t>
  </si>
  <si>
    <t>Generador síncrono 500 kVA, Xd''=12%</t>
  </si>
  <si>
    <t>Xg = 0.12*(100/0.5)=24 pu; cable del generador despreciado</t>
  </si>
  <si>
    <t>Rth/Xth ahora se alimentan desde fórmulas visibles en Modelo_Matricial; Python queda como herramienta de verificación/automatización</t>
  </si>
  <si>
    <t>Calculado con fórmulas visibles en Modelo_Matricial</t>
  </si>
  <si>
    <t>MÁXIMO →</t>
  </si>
  <si>
    <t>Observación</t>
  </si>
  <si>
    <t>MODELO MATRICIAL — Ybus, Zbus = Ybus⁻¹ y extracción de Zth</t>
  </si>
  <si>
    <t>Esta hoja deja visibles las fórmulas del arreglo matricial. Python puede seguir usándose para automatizar, pero aquí Excel muestra cómo se arma Ybus, cómo se invierte y cómo se extrae la diagonal de Zbus.</t>
  </si>
  <si>
    <t>G1 = Re(Ybus1)</t>
  </si>
  <si>
    <t>B1 = Im(Ybus1)</t>
  </si>
  <si>
    <t>M1 = representación real de Ybus1: [ G1  -B1 ; B1  G1 ]</t>
  </si>
  <si>
    <t>Índice</t>
  </si>
  <si>
    <t>M1⁻¹ = representación real de Zbus1 usando MINVERSE(M1)</t>
  </si>
  <si>
    <t>Extracción de Zth1 = diagonal de Zbus1</t>
  </si>
  <si>
    <t>Rth1 pu</t>
  </si>
  <si>
    <t>Xth1 pu</t>
  </si>
  <si>
    <t>|Zth1| pu</t>
  </si>
  <si>
    <t>Fórmula usada</t>
  </si>
  <si>
    <t>SECUENCIA CERO — Ybus0 y Zbus0</t>
  </si>
  <si>
    <t>G0 = Re(Ybus0)</t>
  </si>
  <si>
    <t>B0 = Im(Ybus0)</t>
  </si>
  <si>
    <t>M0 = representación real de Ybus0: [ G0  -B0 ; B0  G0 ]</t>
  </si>
  <si>
    <t>M0⁻¹ = representación real de Zbus0 usando MINVERSE(M0)</t>
  </si>
  <si>
    <t>Extracción de Zth0 = diagonal de Zbus0</t>
  </si>
  <si>
    <t>Rth0 pu</t>
  </si>
  <si>
    <t>Xth0 pu</t>
  </si>
  <si>
    <t>|Zth0| pu</t>
  </si>
  <si>
    <t>X/R0</t>
  </si>
  <si>
    <t>DIMENSIONAMIENTO PRELIMINAR DE PROTECCIONES</t>
  </si>
  <si>
    <t>Criterios de aplicación y verificación inspirados en IEEE Std 242-2001: selección, aplicación y coordinación de dispositivos de protección. La coordinación definitiva debe validarse con curvas TCC y datos de fabricante.</t>
  </si>
  <si>
    <t>Parámetros de criterio</t>
  </si>
  <si>
    <t>Reglas automáticas aplicadas</t>
  </si>
  <si>
    <t>Referencia y alcance</t>
  </si>
  <si>
    <t>Factor de carga por defecto</t>
  </si>
  <si>
    <t>Usado si la fila no define factor</t>
  </si>
  <si>
    <t>Vnom dispositivo ≥ Vbus · Capacidad interruptiva ≥ Icc RMS máx. · Capacidad cierre/pico ≥ Ipico</t>
  </si>
  <si>
    <t>IEEE Std 242-2001 se usa como apoyo conceptual para selección, aplicación y coordinación de protecciones en sistemas industriales y comerciales.</t>
  </si>
  <si>
    <t>Sensibilidad mínima I_falla_min / Ipickup</t>
  </si>
  <si>
    <t>Criterio para validar ajuste</t>
  </si>
  <si>
    <t>Pickup mínimo = Icarga × factor de carga · Sensibilidad = I_falla mínima de zona / Ipickup</t>
  </si>
  <si>
    <t>Esta hoja no reemplaza catálogos de fabricante, norma de instalación ni estudio TCC. Integra resultados de cortocircuito del aplicativo.</t>
  </si>
  <si>
    <t>Margen interruptivo mínimo</t>
  </si>
  <si>
    <t>0.00 = sin margen; 0.10 = 10%</t>
  </si>
  <si>
    <t>Estado automático: ACEPTA / REVISAR / PENDIENTE. La coordinación definitiva requiere curvas TCC.</t>
  </si>
  <si>
    <t>ID</t>
  </si>
  <si>
    <t>Equipo / circuito protegido</t>
  </si>
  <si>
    <t>Bus asociado</t>
  </si>
  <si>
    <t>Tipo dispositivo</t>
  </si>
  <si>
    <t>Vbus
[kV]</t>
  </si>
  <si>
    <t>Vnom disp.
[kV]</t>
  </si>
  <si>
    <t>Icarga
[A]</t>
  </si>
  <si>
    <t>Factor
carga</t>
  </si>
  <si>
    <t>Pickup mín.
[A]</t>
  </si>
  <si>
    <t>Icc RMS máx.
[kA]</t>
  </si>
  <si>
    <t>Ipico
[kA]</t>
  </si>
  <si>
    <t>I falla mínima zona
[kA]</t>
  </si>
  <si>
    <t>Cap. interruptiva
[kA RMS]</t>
  </si>
  <si>
    <t>Cap. cierre/pico
[kA]</t>
  </si>
  <si>
    <t>Tensión</t>
  </si>
  <si>
    <t>Interrupción</t>
  </si>
  <si>
    <t>Pico</t>
  </si>
  <si>
    <t>Sensibilidad</t>
  </si>
  <si>
    <t>Estado</t>
  </si>
  <si>
    <t>PR-01</t>
  </si>
  <si>
    <t>Interruptor general de barra 22 kV</t>
  </si>
  <si>
    <t>Interruptor MT</t>
  </si>
  <si>
    <t>PR-02</t>
  </si>
  <si>
    <t>Interruptor BT Barra 1</t>
  </si>
  <si>
    <t>Interruptor BT</t>
  </si>
  <si>
    <t>PR-03</t>
  </si>
  <si>
    <t>Interruptor BT Barra 2</t>
  </si>
  <si>
    <t>Catálogo auxiliar editable de capacidades nominales — use los valores reales del fabricante del dispositivo seleccionado</t>
  </si>
  <si>
    <t>Tensiones típicas [kV]</t>
  </si>
  <si>
    <t>0.208</t>
  </si>
  <si>
    <t>0.24</t>
  </si>
  <si>
    <t>0.48</t>
  </si>
  <si>
    <t>0.6</t>
  </si>
  <si>
    <t>4.16</t>
  </si>
  <si>
    <t>Capacidades interruptivas típicas [kA]</t>
  </si>
  <si>
    <t>10</t>
  </si>
  <si>
    <t>18</t>
  </si>
  <si>
    <t>25</t>
  </si>
  <si>
    <t>35</t>
  </si>
  <si>
    <t>42</t>
  </si>
  <si>
    <t>65</t>
  </si>
  <si>
    <t>100</t>
  </si>
  <si>
    <t>13.8</t>
  </si>
  <si>
    <t>15</t>
  </si>
  <si>
    <t>24</t>
  </si>
  <si>
    <t>27</t>
  </si>
  <si>
    <t>38</t>
  </si>
  <si>
    <t>Cap. cierre/pico típicas [kA]</t>
  </si>
  <si>
    <t>63</t>
  </si>
  <si>
    <t>85</t>
  </si>
  <si>
    <t>105</t>
  </si>
  <si>
    <t>143</t>
  </si>
  <si>
    <t>230</t>
  </si>
  <si>
    <t>Notas de uso</t>
  </si>
  <si>
    <t>1) La columna J toma la mayor corriente RMS disponible en Resultados para 3F, L-G, L-L y L-L-G.</t>
  </si>
  <si>
    <t>2) La columna L debe alimentarse con la falla mínima de la zona protegida si se desea verificar sensibilidad. Si no se conoce, queda pendiente.</t>
  </si>
  <si>
    <t>3) El ajuste definitivo requiere curvas tiempo-corriente, selectividad aguas arriba/abajo y datos reales de fabricante.</t>
  </si>
  <si>
    <t>4) El cálculo matricial de impedancias de Thévenin sigue el motor externo calc_zbus.py: Ybus → Zbus = Ybus⁻¹ → Zth_Buses.</t>
  </si>
  <si>
    <t>Steven Chaustre</t>
  </si>
  <si>
    <t xml:space="preserve">Universidad Industrial de Santander </t>
  </si>
  <si>
    <t xml:space="preserve">⚠  Ingrese primero S_base (C4) y Factor c (C7). Si cambia S_base después de ingresar impedancias, deberá reconvertir TODOS los valores de Ramas y Fuentes. Valores típicos: S_base = 100 MVA · Factor c = 1.0 · Frecuencia = 50 Hz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</si>
</sst>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5" formatCode="0.000000"/>
    <numFmt numFmtId="170" formatCode="0.0"/>
    <numFmt numFmtId="171" formatCode="0.000"/>
    <numFmt numFmtId="172" formatCode="0.000000000"/>
    <numFmt numFmtId="173" formatCode="0.00000000"/>
    <numFmt numFmtId="174" formatCode="0.00000"/>
    <numFmt numFmtId="175" formatCode="0.0000"/>
  </numFmts>
  <fonts count="20" x14ac:knownFonts="1">
    <font>
      <sz val="11"/>
      <color theme="1"/>
      <name val="Calibri"/>
    </font>
    <font>
      <b/>
      <sz val="14"/>
      <color rgb="FFFFFFFF"/>
      <name val="Calibri"/>
    </font>
    <font>
      <b/>
      <sz val="11"/>
      <color rgb="FFFFFFFF"/>
      <name val="Calibri"/>
    </font>
    <font>
      <b/>
      <sz val="10"/>
      <color rgb="FFFFFFFF"/>
      <name val="Calibri"/>
    </font>
    <font>
      <b/>
      <sz val="10"/>
      <color rgb="FF000000"/>
      <name val="Calibri"/>
    </font>
    <font>
      <i/>
      <sz val="10"/>
      <color rgb="FF595959"/>
      <name val="Calibri"/>
    </font>
    <font>
      <b/>
      <sz val="10"/>
      <color rgb="FF375623"/>
      <name val="Calibri"/>
    </font>
    <font>
      <sz val="10"/>
      <color rgb="FF000000"/>
      <name val="Calibri"/>
    </font>
    <font>
      <b/>
      <sz val="10"/>
      <color rgb="FF595959"/>
      <name val="Calibri"/>
    </font>
    <font>
      <b/>
      <sz val="10"/>
      <color rgb="FFC00000"/>
      <name val="Calibri"/>
    </font>
    <font>
      <b/>
      <sz val="13"/>
      <color rgb="FFFFFFFF"/>
      <name val="Calibri"/>
    </font>
    <font>
      <sz val="10"/>
      <color rgb="FF595959"/>
      <name val="Calibri"/>
    </font>
    <font>
      <i/>
      <sz val="10"/>
      <color rgb="FF1F3864"/>
      <name val="Calibri"/>
    </font>
    <font>
      <i/>
      <sz val="9"/>
      <color rgb="FF1F3864"/>
      <name val="Calibri"/>
    </font>
    <font>
      <b/>
      <sz val="10"/>
      <color rgb="FF1F3864"/>
      <name val="Calibri"/>
    </font>
    <font>
      <sz val="9"/>
      <color rgb="FF1F3864"/>
      <name val="Calibri"/>
    </font>
    <font>
      <i/>
      <sz val="11"/>
      <color theme="1"/>
      <name val="Calibri"/>
    </font>
    <font>
      <b/>
      <sz val="11"/>
      <color theme="1"/>
      <name val="Calibri"/>
    </font>
    <font>
      <b/>
      <sz val="15"/>
      <color rgb="FFFFFFFF"/>
      <name val="Calibri"/>
    </font>
    <font>
      <i/>
      <sz val="10"/>
      <color rgb="FF1F1F1F"/>
      <name val="Calibri"/>
    </font>
  </fonts>
  <fills count="23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2F5496"/>
      </patternFill>
    </fill>
    <fill>
      <patternFill patternType="solid">
        <fgColor rgb="FFF2F2F2"/>
      </patternFill>
    </fill>
    <fill>
      <patternFill patternType="solid">
        <fgColor rgb="FFFFF2CC"/>
      </patternFill>
    </fill>
    <fill>
      <patternFill patternType="solid">
        <fgColor rgb="FFE2EFDA"/>
      </patternFill>
    </fill>
    <fill>
      <patternFill patternType="solid">
        <fgColor rgb="FFDEEAF1"/>
      </patternFill>
    </fill>
    <fill>
      <patternFill patternType="solid">
        <fgColor rgb="FFFFFFFF"/>
      </patternFill>
    </fill>
    <fill>
      <patternFill patternType="solid">
        <fgColor rgb="FFFCE4D6"/>
      </patternFill>
    </fill>
    <fill>
      <patternFill patternType="solid">
        <fgColor rgb="FFF8F9FA"/>
      </patternFill>
    </fill>
    <fill>
      <patternFill patternType="solid">
        <fgColor rgb="FFC6EFCE"/>
      </patternFill>
    </fill>
    <fill>
      <patternFill patternType="solid">
        <fgColor rgb="FF92D050"/>
      </patternFill>
    </fill>
    <fill>
      <patternFill patternType="solid">
        <fgColor rgb="FF1F4E78"/>
      </patternFill>
    </fill>
    <fill>
      <patternFill patternType="solid">
        <fgColor rgb="FFFFF2CC"/>
      </patternFill>
    </fill>
    <fill>
      <patternFill patternType="solid">
        <fgColor rgb="FF5B9BD5"/>
      </patternFill>
    </fill>
    <fill>
      <patternFill patternType="solid">
        <fgColor rgb="FFD9EAF7"/>
      </patternFill>
    </fill>
    <fill>
      <patternFill patternType="solid">
        <fgColor rgb="FF1F4E78"/>
      </patternFill>
    </fill>
    <fill>
      <patternFill patternType="solid">
        <fgColor rgb="FFEAF2F8"/>
      </patternFill>
    </fill>
    <fill>
      <patternFill patternType="solid">
        <fgColor rgb="FFFFF2CC"/>
      </patternFill>
    </fill>
    <fill>
      <patternFill patternType="solid">
        <fgColor rgb="FFF2F2F2"/>
      </patternFill>
    </fill>
    <fill>
      <patternFill patternType="solid">
        <fgColor rgb="FFE2F0D9"/>
      </patternFill>
    </fill>
    <fill>
      <patternFill patternType="solid">
        <fgColor rgb="FF5B9BD5"/>
      </patternFill>
    </fill>
  </fills>
  <borders count="5">
    <border>
      <left/>
      <right/>
      <top/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9E9E9E"/>
      </left>
      <right style="medium">
        <color rgb="FF9E9E9E"/>
      </right>
      <top style="medium">
        <color rgb="FF9E9E9E"/>
      </top>
      <bottom style="medium">
        <color rgb="FF9E9E9E"/>
      </bottom>
      <diagonal/>
    </border>
    <border>
      <left style="dotted">
        <color rgb="FFE0E0E0"/>
      </left>
      <right style="dotted">
        <color rgb="FFE0E0E0"/>
      </right>
      <top style="dotted">
        <color rgb="FFE0E0E0"/>
      </top>
      <bottom style="dotted">
        <color rgb="FFE0E0E0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4" fillId="4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9" fillId="9" borderId="2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left" vertical="center" wrapText="1"/>
    </xf>
    <xf numFmtId="0" fontId="7" fillId="8" borderId="2" xfId="0" applyFont="1" applyFill="1" applyBorder="1" applyAlignment="1">
      <alignment horizontal="left" vertical="top" wrapText="1"/>
    </xf>
    <xf numFmtId="0" fontId="7" fillId="10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left" vertical="center" wrapText="1"/>
    </xf>
    <xf numFmtId="165" fontId="7" fillId="5" borderId="2" xfId="0" applyNumberFormat="1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165" fontId="7" fillId="4" borderId="2" xfId="0" applyNumberFormat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left" vertical="center" wrapText="1"/>
    </xf>
    <xf numFmtId="0" fontId="5" fillId="7" borderId="2" xfId="0" applyFont="1" applyFill="1" applyBorder="1" applyAlignment="1">
      <alignment horizontal="left" vertical="center" wrapText="1"/>
    </xf>
    <xf numFmtId="0" fontId="7" fillId="8" borderId="2" xfId="0" applyFont="1" applyFill="1" applyBorder="1" applyAlignment="1">
      <alignment horizontal="left" vertical="center" wrapText="1"/>
    </xf>
    <xf numFmtId="0" fontId="0" fillId="8" borderId="4" xfId="0" applyFill="1" applyBorder="1"/>
    <xf numFmtId="171" fontId="4" fillId="5" borderId="2" xfId="0" applyNumberFormat="1" applyFont="1" applyFill="1" applyBorder="1" applyAlignment="1">
      <alignment horizontal="center" vertical="center" wrapText="1"/>
    </xf>
    <xf numFmtId="171" fontId="5" fillId="4" borderId="2" xfId="0" applyNumberFormat="1" applyFont="1" applyFill="1" applyBorder="1" applyAlignment="1">
      <alignment horizontal="center" vertical="center" wrapText="1"/>
    </xf>
    <xf numFmtId="171" fontId="7" fillId="4" borderId="2" xfId="0" applyNumberFormat="1" applyFont="1" applyFill="1" applyBorder="1" applyAlignment="1">
      <alignment horizontal="center" vertical="center" wrapText="1"/>
    </xf>
    <xf numFmtId="2" fontId="6" fillId="6" borderId="2" xfId="0" applyNumberFormat="1" applyFont="1" applyFill="1" applyBorder="1" applyAlignment="1">
      <alignment horizontal="center" vertical="center" wrapText="1"/>
    </xf>
    <xf numFmtId="171" fontId="7" fillId="7" borderId="2" xfId="0" applyNumberFormat="1" applyFont="1" applyFill="1" applyBorder="1" applyAlignment="1">
      <alignment horizontal="center" vertical="center" wrapText="1"/>
    </xf>
    <xf numFmtId="171" fontId="6" fillId="6" borderId="2" xfId="0" applyNumberFormat="1" applyFont="1" applyFill="1" applyBorder="1" applyAlignment="1">
      <alignment horizontal="center" vertical="center" wrapText="1"/>
    </xf>
    <xf numFmtId="171" fontId="6" fillId="11" borderId="2" xfId="0" applyNumberFormat="1" applyFont="1" applyFill="1" applyBorder="1" applyAlignment="1">
      <alignment horizontal="center" vertical="center" wrapText="1"/>
    </xf>
    <xf numFmtId="171" fontId="6" fillId="12" borderId="2" xfId="0" applyNumberFormat="1" applyFont="1" applyFill="1" applyBorder="1" applyAlignment="1">
      <alignment horizontal="center" vertical="center" wrapText="1"/>
    </xf>
    <xf numFmtId="171" fontId="0" fillId="0" borderId="0" xfId="0" applyNumberFormat="1"/>
    <xf numFmtId="0" fontId="2" fillId="15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17" fillId="16" borderId="0" xfId="0" applyFont="1" applyFill="1" applyAlignment="1">
      <alignment horizontal="center"/>
    </xf>
    <xf numFmtId="172" fontId="0" fillId="0" borderId="0" xfId="0" applyNumberFormat="1"/>
    <xf numFmtId="171" fontId="3" fillId="3" borderId="3" xfId="0" applyNumberFormat="1" applyFont="1" applyFill="1" applyBorder="1" applyAlignment="1">
      <alignment horizontal="center" vertical="center" wrapText="1"/>
    </xf>
    <xf numFmtId="0" fontId="2" fillId="22" borderId="0" xfId="0" applyFont="1" applyFill="1" applyAlignment="1">
      <alignment horizontal="center" vertical="center" wrapText="1"/>
    </xf>
    <xf numFmtId="0" fontId="0" fillId="19" borderId="0" xfId="0" applyFill="1" applyAlignment="1">
      <alignment vertical="center" wrapText="1"/>
    </xf>
    <xf numFmtId="0" fontId="0" fillId="18" borderId="0" xfId="0" applyFill="1" applyAlignment="1">
      <alignment vertical="center" wrapText="1"/>
    </xf>
    <xf numFmtId="171" fontId="0" fillId="18" borderId="0" xfId="0" applyNumberFormat="1" applyFill="1" applyAlignment="1">
      <alignment vertical="center" wrapText="1"/>
    </xf>
    <xf numFmtId="171" fontId="0" fillId="19" borderId="0" xfId="0" applyNumberFormat="1" applyFill="1" applyAlignment="1">
      <alignment vertical="center" wrapText="1"/>
    </xf>
    <xf numFmtId="1" fontId="0" fillId="19" borderId="0" xfId="0" applyNumberFormat="1" applyFill="1" applyAlignment="1">
      <alignment vertical="center" wrapText="1"/>
    </xf>
    <xf numFmtId="1" fontId="0" fillId="18" borderId="0" xfId="0" applyNumberFormat="1" applyFill="1" applyAlignment="1">
      <alignment vertical="center" wrapText="1"/>
    </xf>
    <xf numFmtId="2" fontId="0" fillId="18" borderId="0" xfId="0" applyNumberFormat="1" applyFill="1" applyAlignment="1">
      <alignment vertical="center" wrapText="1"/>
    </xf>
    <xf numFmtId="0" fontId="0" fillId="20" borderId="0" xfId="0" applyFill="1" applyAlignment="1">
      <alignment horizontal="center"/>
    </xf>
    <xf numFmtId="0" fontId="7" fillId="8" borderId="1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1" fillId="13" borderId="0" xfId="0" applyFont="1" applyFill="1" applyAlignment="1">
      <alignment horizontal="left"/>
    </xf>
    <xf numFmtId="0" fontId="0" fillId="0" borderId="0" xfId="0"/>
    <xf numFmtId="0" fontId="16" fillId="14" borderId="0" xfId="0" applyFont="1" applyFill="1" applyAlignment="1">
      <alignment wrapText="1"/>
    </xf>
    <xf numFmtId="0" fontId="9" fillId="9" borderId="1" xfId="0" applyFont="1" applyFill="1" applyBorder="1" applyAlignment="1">
      <alignment horizontal="left" vertical="center" wrapText="1"/>
    </xf>
    <xf numFmtId="0" fontId="12" fillId="7" borderId="1" xfId="0" applyFont="1" applyFill="1" applyBorder="1" applyAlignment="1">
      <alignment horizontal="left" vertical="center" wrapText="1"/>
    </xf>
    <xf numFmtId="0" fontId="13" fillId="7" borderId="1" xfId="0" applyFont="1" applyFill="1" applyBorder="1" applyAlignment="1">
      <alignment horizontal="left" vertical="center" wrapText="1"/>
    </xf>
    <xf numFmtId="0" fontId="13" fillId="8" borderId="1" xfId="0" applyFont="1" applyFill="1" applyBorder="1" applyAlignment="1">
      <alignment horizontal="left" vertical="center" wrapText="1"/>
    </xf>
    <xf numFmtId="0" fontId="15" fillId="7" borderId="1" xfId="0" applyFont="1" applyFill="1" applyBorder="1" applyAlignment="1">
      <alignment horizontal="left" vertical="top" wrapText="1"/>
    </xf>
    <xf numFmtId="0" fontId="13" fillId="7" borderId="1" xfId="0" applyFont="1" applyFill="1" applyBorder="1" applyAlignment="1">
      <alignment horizontal="center" vertical="center" wrapText="1"/>
    </xf>
    <xf numFmtId="171" fontId="3" fillId="3" borderId="1" xfId="0" applyNumberFormat="1" applyFont="1" applyFill="1" applyBorder="1" applyAlignment="1">
      <alignment horizontal="left" vertical="center" wrapText="1"/>
    </xf>
    <xf numFmtId="0" fontId="17" fillId="16" borderId="0" xfId="0" applyFont="1" applyFill="1" applyAlignment="1">
      <alignment horizontal="center"/>
    </xf>
    <xf numFmtId="0" fontId="2" fillId="15" borderId="0" xfId="0" applyFont="1" applyFill="1" applyAlignment="1">
      <alignment horizontal="center" vertical="center"/>
    </xf>
    <xf numFmtId="0" fontId="18" fillId="17" borderId="0" xfId="0" applyFont="1" applyFill="1" applyAlignment="1">
      <alignment horizontal="center" vertical="center"/>
    </xf>
    <xf numFmtId="0" fontId="19" fillId="18" borderId="0" xfId="0" applyFont="1" applyFill="1" applyAlignment="1">
      <alignment horizontal="center" vertical="center" wrapText="1"/>
    </xf>
    <xf numFmtId="0" fontId="2" fillId="17" borderId="0" xfId="0" applyFont="1" applyFill="1" applyAlignment="1">
      <alignment horizontal="center"/>
    </xf>
    <xf numFmtId="0" fontId="17" fillId="18" borderId="0" xfId="0" applyFont="1" applyFill="1" applyAlignment="1">
      <alignment wrapText="1"/>
    </xf>
    <xf numFmtId="0" fontId="0" fillId="18" borderId="0" xfId="0" applyFill="1" applyAlignment="1">
      <alignment wrapText="1"/>
    </xf>
    <xf numFmtId="0" fontId="0" fillId="19" borderId="0" xfId="0" applyFill="1" applyAlignment="1">
      <alignment vertical="center" wrapText="1"/>
    </xf>
    <xf numFmtId="2" fontId="0" fillId="19" borderId="0" xfId="0" applyNumberFormat="1" applyFill="1" applyAlignment="1">
      <alignment vertical="center" wrapText="1"/>
    </xf>
    <xf numFmtId="0" fontId="0" fillId="20" borderId="0" xfId="0" applyFill="1" applyAlignment="1">
      <alignment horizontal="center" vertical="center" wrapText="1"/>
    </xf>
    <xf numFmtId="0" fontId="0" fillId="21" borderId="0" xfId="0" applyFill="1" applyAlignment="1">
      <alignment vertical="center" wrapText="1"/>
    </xf>
    <xf numFmtId="173" fontId="0" fillId="0" borderId="0" xfId="0" applyNumberFormat="1"/>
    <xf numFmtId="173" fontId="17" fillId="16" borderId="0" xfId="0" applyNumberFormat="1" applyFont="1" applyFill="1" applyAlignment="1">
      <alignment horizontal="center"/>
    </xf>
    <xf numFmtId="173" fontId="17" fillId="16" borderId="0" xfId="0" applyNumberFormat="1" applyFont="1" applyFill="1" applyAlignment="1">
      <alignment horizontal="center"/>
    </xf>
    <xf numFmtId="0" fontId="0" fillId="19" borderId="0" xfId="0" applyFill="1" applyAlignment="1">
      <alignment horizontal="center" vertical="center" wrapText="1"/>
    </xf>
    <xf numFmtId="175" fontId="7" fillId="5" borderId="2" xfId="0" applyNumberFormat="1" applyFont="1" applyFill="1" applyBorder="1" applyAlignment="1">
      <alignment horizontal="center" vertical="center" wrapText="1"/>
    </xf>
    <xf numFmtId="174" fontId="7" fillId="4" borderId="2" xfId="0" applyNumberFormat="1" applyFont="1" applyFill="1" applyBorder="1" applyAlignment="1">
      <alignment horizontal="center" vertical="center" wrapText="1"/>
    </xf>
    <xf numFmtId="2" fontId="7" fillId="4" borderId="2" xfId="0" applyNumberFormat="1" applyFont="1" applyFill="1" applyBorder="1" applyAlignment="1">
      <alignment horizontal="center" vertical="center" wrapText="1"/>
    </xf>
    <xf numFmtId="174" fontId="14" fillId="5" borderId="2" xfId="0" applyNumberFormat="1" applyFont="1" applyFill="1" applyBorder="1" applyAlignment="1">
      <alignment horizontal="center" vertical="center" wrapText="1"/>
    </xf>
    <xf numFmtId="174" fontId="6" fillId="6" borderId="2" xfId="0" applyNumberFormat="1" applyFont="1" applyFill="1" applyBorder="1" applyAlignment="1">
      <alignment horizontal="center" vertical="center" wrapText="1"/>
    </xf>
    <xf numFmtId="2" fontId="6" fillId="11" borderId="2" xfId="0" applyNumberFormat="1" applyFont="1" applyFill="1" applyBorder="1" applyAlignment="1">
      <alignment horizontal="center" vertical="center" wrapText="1"/>
    </xf>
    <xf numFmtId="170" fontId="7" fillId="7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12">
    <dxf>
      <font>
        <b/>
        <color rgb="FF9C6500"/>
      </font>
      <fill>
        <patternFill patternType="solid">
          <bgColor rgb="FFFFEB9C"/>
        </patternFill>
      </fill>
    </dxf>
    <dxf>
      <font>
        <b/>
        <color rgb="FF9C0006"/>
      </font>
      <fill>
        <patternFill patternType="solid">
          <bgColor rgb="FFFFC7CE"/>
        </patternFill>
      </fill>
    </dxf>
    <dxf>
      <font>
        <b/>
        <color rgb="FF006100"/>
      </font>
      <fill>
        <patternFill patternType="solid">
          <bgColor rgb="FFC6EF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DEEAF1"/>
      <rgbColor rgb="FF660066"/>
      <rgbColor rgb="FFFF8080"/>
      <rgbColor rgb="FF0066CC"/>
      <rgbColor rgb="FFE0E0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2EFDA"/>
      <rgbColor rgb="FFC6EFCE"/>
      <rgbColor rgb="FFF2F2F2"/>
      <rgbColor rgb="FFF8F9FA"/>
      <rgbColor rgb="FFFF99CC"/>
      <rgbColor rgb="FFCC99FF"/>
      <rgbColor rgb="FFFCE4D6"/>
      <rgbColor rgb="FF4472C4"/>
      <rgbColor rgb="FF33CCCC"/>
      <rgbColor rgb="FF92D050"/>
      <rgbColor rgb="FFFFC000"/>
      <rgbColor rgb="FFFF9900"/>
      <rgbColor rgb="FFED7D31"/>
      <rgbColor rgb="FF595959"/>
      <rgbColor rgb="FF9E9E9E"/>
      <rgbColor rgb="FF1F3864"/>
      <rgbColor rgb="FF339966"/>
      <rgbColor rgb="FF003300"/>
      <rgbColor rgb="FF333300"/>
      <rgbColor rgb="FF993300"/>
      <rgbColor rgb="FF993366"/>
      <rgbColor rgb="FF2F5496"/>
      <rgbColor rgb="FF37562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Protecciones" displayName="TablaProtecciones" ref="A8:T28">
  <tableColumns count="20">
    <tableColumn id="1" xr3:uid="{00000000-0010-0000-0000-000001000000}" name="ID"/>
    <tableColumn id="2" xr3:uid="{00000000-0010-0000-0000-000002000000}" name="Equipo / circuito protegido"/>
    <tableColumn id="3" xr3:uid="{00000000-0010-0000-0000-000003000000}" name="Bus asociado"/>
    <tableColumn id="4" xr3:uid="{00000000-0010-0000-0000-000004000000}" name="Tipo dispositivo"/>
    <tableColumn id="5" xr3:uid="{00000000-0010-0000-0000-000005000000}" name="Vbus_x000a_[kV]"/>
    <tableColumn id="6" xr3:uid="{00000000-0010-0000-0000-000006000000}" name="Vnom disp._x000a_[kV]"/>
    <tableColumn id="7" xr3:uid="{00000000-0010-0000-0000-000007000000}" name="Icarga_x000a_[A]"/>
    <tableColumn id="8" xr3:uid="{00000000-0010-0000-0000-000008000000}" name="Factor_x000a_carga"/>
    <tableColumn id="9" xr3:uid="{00000000-0010-0000-0000-000009000000}" name="Pickup mín._x000a_[A]"/>
    <tableColumn id="10" xr3:uid="{00000000-0010-0000-0000-00000A000000}" name="Icc RMS máx._x000a_[kA]"/>
    <tableColumn id="11" xr3:uid="{00000000-0010-0000-0000-00000B000000}" name="Ipico_x000a_[kA]"/>
    <tableColumn id="12" xr3:uid="{00000000-0010-0000-0000-00000C000000}" name="I falla mínima zona_x000a_[kA]"/>
    <tableColumn id="13" xr3:uid="{00000000-0010-0000-0000-00000D000000}" name="Cap. interruptiva_x000a_[kA RMS]"/>
    <tableColumn id="14" xr3:uid="{00000000-0010-0000-0000-00000E000000}" name="Cap. cierre/pico_x000a_[kA]"/>
    <tableColumn id="15" xr3:uid="{00000000-0010-0000-0000-00000F000000}" name="Tensión"/>
    <tableColumn id="16" xr3:uid="{00000000-0010-0000-0000-000010000000}" name="Interrupción"/>
    <tableColumn id="17" xr3:uid="{00000000-0010-0000-0000-000011000000}" name="Pico"/>
    <tableColumn id="18" xr3:uid="{00000000-0010-0000-0000-000012000000}" name="Sensibilidad"/>
    <tableColumn id="19" xr3:uid="{00000000-0010-0000-0000-000013000000}" name="Estado"/>
    <tableColumn id="20" xr3:uid="{00000000-0010-0000-0000-000014000000}" name="Observació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3864"/>
  </sheetPr>
  <dimension ref="B1:K30"/>
  <sheetViews>
    <sheetView showGridLines="0" topLeftCell="A18" workbookViewId="0">
      <selection activeCell="C6" sqref="C6:K6"/>
    </sheetView>
  </sheetViews>
  <sheetFormatPr defaultColWidth="8.6640625" defaultRowHeight="14.4" x14ac:dyDescent="0.3"/>
  <cols>
    <col min="1" max="1" width="3" customWidth="1"/>
    <col min="2" max="2" width="28" customWidth="1"/>
    <col min="3" max="3" width="22" customWidth="1"/>
    <col min="4" max="4" width="18" customWidth="1"/>
    <col min="5" max="5" width="30" customWidth="1"/>
    <col min="6" max="6" width="12" customWidth="1"/>
    <col min="7" max="7" width="18" customWidth="1"/>
    <col min="8" max="11" width="14" customWidth="1"/>
  </cols>
  <sheetData>
    <row r="1" spans="2:11" ht="39.75" customHeight="1" x14ac:dyDescent="0.3">
      <c r="B1" s="53" t="s">
        <v>0</v>
      </c>
      <c r="C1" s="53"/>
      <c r="D1" s="53"/>
      <c r="E1" s="53"/>
      <c r="F1" s="53"/>
      <c r="G1" s="53"/>
      <c r="H1" s="53"/>
      <c r="I1" s="53"/>
      <c r="J1" s="53"/>
      <c r="K1" s="53"/>
    </row>
    <row r="2" spans="2:11" ht="24" customHeight="1" x14ac:dyDescent="0.3">
      <c r="B2" s="54" t="s">
        <v>1</v>
      </c>
      <c r="C2" s="54"/>
      <c r="D2" s="54"/>
      <c r="E2" s="54"/>
      <c r="F2" s="54"/>
      <c r="G2" s="54"/>
      <c r="H2" s="54"/>
      <c r="I2" s="54"/>
      <c r="J2" s="54"/>
      <c r="K2" s="54"/>
    </row>
    <row r="4" spans="2:11" ht="18" customHeight="1" x14ac:dyDescent="0.3">
      <c r="B4" s="51" t="s">
        <v>2</v>
      </c>
      <c r="C4" s="51"/>
      <c r="D4" s="51"/>
      <c r="E4" s="51"/>
      <c r="F4" s="51"/>
      <c r="G4" s="51"/>
      <c r="H4" s="51"/>
      <c r="I4" s="51"/>
      <c r="J4" s="51"/>
      <c r="K4" s="51"/>
    </row>
    <row r="5" spans="2:11" ht="18" customHeight="1" x14ac:dyDescent="0.3">
      <c r="B5" s="1" t="s">
        <v>267</v>
      </c>
      <c r="C5" s="52" t="s">
        <v>268</v>
      </c>
      <c r="D5" s="52"/>
      <c r="E5" s="52"/>
      <c r="F5" s="52"/>
      <c r="G5" s="52"/>
      <c r="H5" s="52"/>
      <c r="I5" s="52"/>
      <c r="J5" s="52"/>
      <c r="K5" s="52"/>
    </row>
    <row r="6" spans="2:11" ht="18" customHeight="1" x14ac:dyDescent="0.3">
      <c r="B6" s="1" t="s">
        <v>269</v>
      </c>
      <c r="C6" s="52" t="s">
        <v>399</v>
      </c>
      <c r="D6" s="52"/>
      <c r="E6" s="52"/>
      <c r="F6" s="52"/>
      <c r="G6" s="52"/>
      <c r="H6" s="52"/>
      <c r="I6" s="52"/>
      <c r="J6" s="52"/>
      <c r="K6" s="52"/>
    </row>
    <row r="7" spans="2:11" ht="18" customHeight="1" x14ac:dyDescent="0.3">
      <c r="B7" s="1" t="s">
        <v>270</v>
      </c>
      <c r="C7" s="52" t="s">
        <v>398</v>
      </c>
      <c r="D7" s="52"/>
      <c r="E7" s="52"/>
      <c r="F7" s="52"/>
      <c r="G7" s="52"/>
      <c r="H7" s="52"/>
      <c r="I7" s="52"/>
      <c r="J7" s="52"/>
      <c r="K7" s="52"/>
    </row>
    <row r="8" spans="2:11" ht="18" customHeight="1" x14ac:dyDescent="0.3">
      <c r="B8" s="1"/>
      <c r="C8" s="52"/>
      <c r="D8" s="52"/>
      <c r="E8" s="52"/>
      <c r="F8" s="52"/>
      <c r="G8" s="52"/>
      <c r="H8" s="52"/>
      <c r="I8" s="52"/>
      <c r="J8" s="52"/>
      <c r="K8" s="52"/>
    </row>
    <row r="9" spans="2:11" ht="18" customHeight="1" x14ac:dyDescent="0.3">
      <c r="B9" s="1"/>
      <c r="C9" s="52"/>
      <c r="D9" s="52"/>
      <c r="E9" s="52"/>
      <c r="F9" s="52"/>
      <c r="G9" s="52"/>
      <c r="H9" s="52"/>
      <c r="I9" s="52"/>
      <c r="J9" s="52"/>
      <c r="K9" s="52"/>
    </row>
    <row r="10" spans="2:11" ht="18" customHeight="1" x14ac:dyDescent="0.3">
      <c r="B10" s="1"/>
      <c r="C10" s="52"/>
      <c r="D10" s="52"/>
      <c r="E10" s="52"/>
      <c r="F10" s="52"/>
      <c r="G10" s="52"/>
      <c r="H10" s="52"/>
      <c r="I10" s="52"/>
      <c r="J10" s="52"/>
      <c r="K10" s="52"/>
    </row>
    <row r="12" spans="2:11" ht="18" customHeight="1" x14ac:dyDescent="0.3">
      <c r="B12" s="51" t="s">
        <v>3</v>
      </c>
      <c r="C12" s="51"/>
      <c r="D12" s="51"/>
      <c r="E12" s="51"/>
      <c r="F12" s="51"/>
      <c r="G12" s="51"/>
      <c r="H12" s="51"/>
      <c r="I12" s="51"/>
      <c r="J12" s="51"/>
      <c r="K12" s="51"/>
    </row>
    <row r="13" spans="2:11" ht="21.75" customHeight="1" x14ac:dyDescent="0.3">
      <c r="B13" s="2" t="s">
        <v>4</v>
      </c>
      <c r="C13" s="2" t="s">
        <v>5</v>
      </c>
      <c r="D13" s="2" t="s">
        <v>6</v>
      </c>
      <c r="E13" s="2" t="s">
        <v>7</v>
      </c>
      <c r="F13" s="2" t="s">
        <v>8</v>
      </c>
      <c r="G13" s="2" t="s">
        <v>9</v>
      </c>
      <c r="H13" s="2" t="s">
        <v>10</v>
      </c>
      <c r="I13" s="2" t="s">
        <v>11</v>
      </c>
      <c r="J13" s="2" t="s">
        <v>12</v>
      </c>
      <c r="K13" s="2" t="s">
        <v>13</v>
      </c>
    </row>
    <row r="14" spans="2:11" ht="18" customHeight="1" x14ac:dyDescent="0.3">
      <c r="B14" s="31">
        <v>3</v>
      </c>
      <c r="C14" s="31">
        <v>2</v>
      </c>
      <c r="D14" s="31">
        <v>2</v>
      </c>
      <c r="E14" s="31">
        <f>IF(Parámetros!C4="","—",Parámetros!C4)</f>
        <v>100</v>
      </c>
      <c r="F14" s="31">
        <f>IF(Parámetros!C7="","—",Parámetros!C7)</f>
        <v>1</v>
      </c>
      <c r="G14" s="31" t="s">
        <v>271</v>
      </c>
      <c r="H14" s="31" t="s">
        <v>272</v>
      </c>
      <c r="I14" s="31">
        <v>19.386754286728202</v>
      </c>
      <c r="J14" s="31">
        <v>19.386754286728202</v>
      </c>
      <c r="K14" s="31">
        <v>19.386754286728202</v>
      </c>
    </row>
    <row r="16" spans="2:11" ht="18" customHeight="1" x14ac:dyDescent="0.3">
      <c r="B16" s="51" t="s">
        <v>14</v>
      </c>
      <c r="C16" s="51"/>
      <c r="D16" s="51"/>
      <c r="E16" s="51"/>
      <c r="F16" s="51"/>
      <c r="G16" s="51"/>
      <c r="H16" s="51"/>
      <c r="I16" s="51"/>
      <c r="J16" s="51"/>
      <c r="K16" s="51"/>
    </row>
    <row r="17" spans="2:11" ht="19.5" customHeight="1" x14ac:dyDescent="0.3">
      <c r="B17" s="4" t="s">
        <v>15</v>
      </c>
      <c r="C17" s="5" t="s">
        <v>16</v>
      </c>
      <c r="D17" s="50" t="s">
        <v>17</v>
      </c>
      <c r="E17" s="50"/>
      <c r="F17" s="50"/>
      <c r="G17" s="50"/>
      <c r="H17" s="50"/>
      <c r="I17" s="50"/>
      <c r="J17" s="50"/>
      <c r="K17" s="50"/>
    </row>
    <row r="18" spans="2:11" ht="19.5" customHeight="1" x14ac:dyDescent="0.3">
      <c r="B18" s="4" t="s">
        <v>18</v>
      </c>
      <c r="C18" s="5" t="s">
        <v>4</v>
      </c>
      <c r="D18" s="49" t="s">
        <v>19</v>
      </c>
      <c r="E18" s="49"/>
      <c r="F18" s="49"/>
      <c r="G18" s="49"/>
      <c r="H18" s="49"/>
      <c r="I18" s="49"/>
      <c r="J18" s="49"/>
      <c r="K18" s="49"/>
    </row>
    <row r="19" spans="2:11" ht="19.5" customHeight="1" x14ac:dyDescent="0.3">
      <c r="B19" s="4" t="s">
        <v>20</v>
      </c>
      <c r="C19" s="5" t="s">
        <v>5</v>
      </c>
      <c r="D19" s="50" t="s">
        <v>21</v>
      </c>
      <c r="E19" s="50"/>
      <c r="F19" s="50"/>
      <c r="G19" s="50"/>
      <c r="H19" s="50"/>
      <c r="I19" s="50"/>
      <c r="J19" s="50"/>
      <c r="K19" s="50"/>
    </row>
    <row r="20" spans="2:11" ht="19.5" customHeight="1" x14ac:dyDescent="0.3">
      <c r="B20" s="4" t="s">
        <v>22</v>
      </c>
      <c r="C20" s="5" t="s">
        <v>6</v>
      </c>
      <c r="D20" s="49" t="s">
        <v>23</v>
      </c>
      <c r="E20" s="49"/>
      <c r="F20" s="49"/>
      <c r="G20" s="49"/>
      <c r="H20" s="49"/>
      <c r="I20" s="49"/>
      <c r="J20" s="49"/>
      <c r="K20" s="49"/>
    </row>
    <row r="21" spans="2:11" ht="19.5" customHeight="1" x14ac:dyDescent="0.3">
      <c r="B21" s="4" t="s">
        <v>24</v>
      </c>
      <c r="C21" s="5" t="s">
        <v>25</v>
      </c>
      <c r="D21" s="50" t="s">
        <v>26</v>
      </c>
      <c r="E21" s="50"/>
      <c r="F21" s="50"/>
      <c r="G21" s="50"/>
      <c r="H21" s="50"/>
      <c r="I21" s="50"/>
      <c r="J21" s="50"/>
      <c r="K21" s="50"/>
    </row>
    <row r="22" spans="2:11" ht="19.5" customHeight="1" x14ac:dyDescent="0.3">
      <c r="B22" s="4" t="s">
        <v>27</v>
      </c>
      <c r="C22" s="5" t="s">
        <v>28</v>
      </c>
      <c r="D22" s="49" t="s">
        <v>29</v>
      </c>
      <c r="E22" s="49"/>
      <c r="F22" s="49"/>
      <c r="G22" s="49"/>
      <c r="H22" s="49"/>
      <c r="I22" s="49"/>
      <c r="J22" s="49"/>
      <c r="K22" s="49"/>
    </row>
    <row r="23" spans="2:11" ht="19.5" customHeight="1" x14ac:dyDescent="0.3">
      <c r="B23" s="4" t="s">
        <v>30</v>
      </c>
      <c r="C23" s="5" t="s">
        <v>31</v>
      </c>
      <c r="D23" s="50" t="s">
        <v>32</v>
      </c>
      <c r="E23" s="50"/>
      <c r="F23" s="50"/>
      <c r="G23" s="50"/>
      <c r="H23" s="50"/>
      <c r="I23" s="50"/>
      <c r="J23" s="50"/>
      <c r="K23" s="50"/>
    </row>
    <row r="25" spans="2:11" ht="18" customHeight="1" x14ac:dyDescent="0.3">
      <c r="B25" s="51" t="s">
        <v>33</v>
      </c>
      <c r="C25" s="51"/>
      <c r="D25" s="51"/>
      <c r="E25" s="51"/>
      <c r="F25" s="51"/>
      <c r="G25" s="51"/>
      <c r="H25" s="51"/>
      <c r="I25" s="51"/>
      <c r="J25" s="51"/>
      <c r="K25" s="51"/>
    </row>
    <row r="26" spans="2:11" ht="15.75" customHeight="1" x14ac:dyDescent="0.3">
      <c r="B26" s="6" t="s">
        <v>34</v>
      </c>
      <c r="C26" s="49" t="s">
        <v>35</v>
      </c>
      <c r="D26" s="49"/>
      <c r="E26" s="49"/>
      <c r="F26" s="49"/>
      <c r="G26" s="49"/>
      <c r="H26" s="49"/>
      <c r="I26" s="49"/>
      <c r="J26" s="49"/>
      <c r="K26" s="49"/>
    </row>
    <row r="27" spans="2:11" ht="15.75" customHeight="1" x14ac:dyDescent="0.3">
      <c r="B27" s="3" t="s">
        <v>36</v>
      </c>
      <c r="C27" s="49" t="s">
        <v>37</v>
      </c>
      <c r="D27" s="49"/>
      <c r="E27" s="49"/>
      <c r="F27" s="49"/>
      <c r="G27" s="49"/>
      <c r="H27" s="49"/>
      <c r="I27" s="49"/>
      <c r="J27" s="49"/>
      <c r="K27" s="49"/>
    </row>
    <row r="28" spans="2:11" ht="15.75" customHeight="1" x14ac:dyDescent="0.3">
      <c r="B28" s="7" t="s">
        <v>38</v>
      </c>
      <c r="C28" s="49" t="s">
        <v>39</v>
      </c>
      <c r="D28" s="49"/>
      <c r="E28" s="49"/>
      <c r="F28" s="49"/>
      <c r="G28" s="49"/>
      <c r="H28" s="49"/>
      <c r="I28" s="49"/>
      <c r="J28" s="49"/>
      <c r="K28" s="49"/>
    </row>
    <row r="29" spans="2:11" ht="15.75" customHeight="1" x14ac:dyDescent="0.3">
      <c r="B29" s="8" t="s">
        <v>40</v>
      </c>
      <c r="C29" s="49" t="s">
        <v>41</v>
      </c>
      <c r="D29" s="49"/>
      <c r="E29" s="49"/>
      <c r="F29" s="49"/>
      <c r="G29" s="49"/>
      <c r="H29" s="49"/>
      <c r="I29" s="49"/>
      <c r="J29" s="49"/>
      <c r="K29" s="49"/>
    </row>
    <row r="30" spans="2:11" ht="15.75" customHeight="1" x14ac:dyDescent="0.3">
      <c r="B30" s="9" t="s">
        <v>42</v>
      </c>
      <c r="C30" s="49" t="s">
        <v>43</v>
      </c>
      <c r="D30" s="49"/>
      <c r="E30" s="49"/>
      <c r="F30" s="49"/>
      <c r="G30" s="49"/>
      <c r="H30" s="49"/>
      <c r="I30" s="49"/>
      <c r="J30" s="49"/>
      <c r="K30" s="49"/>
    </row>
  </sheetData>
  <mergeCells count="24">
    <mergeCell ref="B1:K1"/>
    <mergeCell ref="B2:K2"/>
    <mergeCell ref="B4:K4"/>
    <mergeCell ref="C5:K5"/>
    <mergeCell ref="C6:K6"/>
    <mergeCell ref="C7:K7"/>
    <mergeCell ref="C8:K8"/>
    <mergeCell ref="C9:K9"/>
    <mergeCell ref="C10:K10"/>
    <mergeCell ref="B12:K12"/>
    <mergeCell ref="B16:K16"/>
    <mergeCell ref="D17:K17"/>
    <mergeCell ref="D18:K18"/>
    <mergeCell ref="D19:K19"/>
    <mergeCell ref="D20:K20"/>
    <mergeCell ref="C27:K27"/>
    <mergeCell ref="C28:K28"/>
    <mergeCell ref="C29:K29"/>
    <mergeCell ref="C30:K30"/>
    <mergeCell ref="D21:K21"/>
    <mergeCell ref="D22:K22"/>
    <mergeCell ref="D23:K23"/>
    <mergeCell ref="B25:K25"/>
    <mergeCell ref="C26:K2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E9E9E"/>
  </sheetPr>
  <dimension ref="B1:E79"/>
  <sheetViews>
    <sheetView showGridLines="0" topLeftCell="E16" workbookViewId="0">
      <selection activeCell="H9" sqref="H9:H34"/>
    </sheetView>
  </sheetViews>
  <sheetFormatPr defaultColWidth="8.6640625" defaultRowHeight="14.4" x14ac:dyDescent="0.3"/>
  <cols>
    <col min="1" max="1" width="3" customWidth="1"/>
    <col min="2" max="2" width="20" customWidth="1"/>
    <col min="3" max="3" width="12" customWidth="1"/>
    <col min="4" max="4" width="14" customWidth="1"/>
    <col min="5" max="5" width="55" customWidth="1"/>
  </cols>
  <sheetData>
    <row r="1" spans="2:5" ht="36" customHeight="1" x14ac:dyDescent="0.3">
      <c r="B1" s="55" t="s">
        <v>224</v>
      </c>
      <c r="C1" s="55"/>
      <c r="D1" s="55"/>
      <c r="E1" s="55"/>
    </row>
    <row r="2" spans="2:5" ht="19.5" customHeight="1" x14ac:dyDescent="0.3">
      <c r="B2" s="56" t="s">
        <v>225</v>
      </c>
      <c r="C2" s="56"/>
      <c r="D2" s="56"/>
      <c r="E2" s="56"/>
    </row>
    <row r="4" spans="2:5" ht="24" customHeight="1" x14ac:dyDescent="0.3">
      <c r="B4" s="13" t="s">
        <v>226</v>
      </c>
      <c r="C4" s="13" t="s">
        <v>227</v>
      </c>
      <c r="D4" s="13" t="s">
        <v>228</v>
      </c>
      <c r="E4" s="13" t="s">
        <v>229</v>
      </c>
    </row>
    <row r="5" spans="2:5" ht="27.6" x14ac:dyDescent="0.3">
      <c r="B5" s="21" t="s">
        <v>230</v>
      </c>
      <c r="C5" s="22" t="s">
        <v>231</v>
      </c>
      <c r="D5" s="23" t="s">
        <v>232</v>
      </c>
      <c r="E5" s="22" t="s">
        <v>233</v>
      </c>
    </row>
    <row r="6" spans="2:5" ht="41.4" x14ac:dyDescent="0.3">
      <c r="B6" s="21" t="s">
        <v>234</v>
      </c>
      <c r="C6" s="24" t="s">
        <v>235</v>
      </c>
      <c r="D6" s="15" t="s">
        <v>236</v>
      </c>
      <c r="E6" s="24" t="s">
        <v>237</v>
      </c>
    </row>
    <row r="7" spans="2:5" ht="41.4" x14ac:dyDescent="0.3">
      <c r="B7" s="21" t="s">
        <v>238</v>
      </c>
      <c r="C7" s="22" t="s">
        <v>239</v>
      </c>
      <c r="D7" s="23" t="s">
        <v>240</v>
      </c>
      <c r="E7" s="22" t="s">
        <v>241</v>
      </c>
    </row>
    <row r="8" spans="2:5" ht="27.6" x14ac:dyDescent="0.3">
      <c r="B8" s="21" t="s">
        <v>242</v>
      </c>
      <c r="C8" s="24" t="s">
        <v>243</v>
      </c>
      <c r="D8" s="15" t="s">
        <v>244</v>
      </c>
      <c r="E8" s="24" t="s">
        <v>245</v>
      </c>
    </row>
    <row r="9" spans="2:5" ht="41.4" x14ac:dyDescent="0.3">
      <c r="B9" s="21" t="s">
        <v>246</v>
      </c>
      <c r="C9" s="22" t="s">
        <v>247</v>
      </c>
      <c r="D9" s="23" t="s">
        <v>248</v>
      </c>
      <c r="E9" s="22" t="s">
        <v>249</v>
      </c>
    </row>
    <row r="10" spans="2:5" ht="27.6" x14ac:dyDescent="0.3">
      <c r="B10" s="21" t="s">
        <v>250</v>
      </c>
      <c r="C10" s="24" t="s">
        <v>251</v>
      </c>
      <c r="D10" s="15" t="s">
        <v>252</v>
      </c>
      <c r="E10" s="24" t="s">
        <v>253</v>
      </c>
    </row>
    <row r="11" spans="2:5" ht="27.6" x14ac:dyDescent="0.3">
      <c r="B11" s="21" t="s">
        <v>254</v>
      </c>
      <c r="C11" s="22" t="s">
        <v>255</v>
      </c>
      <c r="D11" s="23" t="s">
        <v>256</v>
      </c>
      <c r="E11" s="22" t="s">
        <v>257</v>
      </c>
    </row>
    <row r="12" spans="2:5" ht="27.6" x14ac:dyDescent="0.3">
      <c r="B12" s="21" t="s">
        <v>258</v>
      </c>
      <c r="C12" s="24" t="s">
        <v>259</v>
      </c>
      <c r="D12" s="15" t="s">
        <v>260</v>
      </c>
      <c r="E12" s="24" t="s">
        <v>261</v>
      </c>
    </row>
    <row r="13" spans="2:5" ht="27.6" x14ac:dyDescent="0.3">
      <c r="B13" s="21" t="s">
        <v>262</v>
      </c>
      <c r="C13" s="22" t="s">
        <v>263</v>
      </c>
      <c r="D13" s="23" t="s">
        <v>264</v>
      </c>
      <c r="E13" s="22" t="s">
        <v>265</v>
      </c>
    </row>
    <row r="15" spans="2:5" ht="19.5" customHeight="1" x14ac:dyDescent="0.3">
      <c r="B15" s="51" t="s">
        <v>266</v>
      </c>
      <c r="C15" s="51"/>
      <c r="D15" s="51"/>
      <c r="E15" s="51"/>
    </row>
    <row r="16" spans="2:5" ht="13.5" customHeight="1" x14ac:dyDescent="0.3">
      <c r="B16" s="25"/>
      <c r="C16" s="25"/>
      <c r="D16" s="25"/>
      <c r="E16" s="25"/>
    </row>
    <row r="17" spans="2:5" ht="13.5" customHeight="1" x14ac:dyDescent="0.3">
      <c r="B17" s="25"/>
      <c r="C17" s="25"/>
      <c r="D17" s="25"/>
      <c r="E17" s="25"/>
    </row>
    <row r="18" spans="2:5" ht="13.5" customHeight="1" x14ac:dyDescent="0.3">
      <c r="B18" s="25"/>
      <c r="C18" s="25"/>
      <c r="D18" s="25"/>
      <c r="E18" s="25"/>
    </row>
    <row r="19" spans="2:5" ht="13.5" customHeight="1" x14ac:dyDescent="0.3">
      <c r="B19" s="25"/>
      <c r="C19" s="25"/>
      <c r="D19" s="25"/>
      <c r="E19" s="25"/>
    </row>
    <row r="20" spans="2:5" ht="13.5" customHeight="1" x14ac:dyDescent="0.3">
      <c r="B20" s="25"/>
      <c r="C20" s="25"/>
      <c r="D20" s="25"/>
      <c r="E20" s="25"/>
    </row>
    <row r="21" spans="2:5" ht="13.5" customHeight="1" x14ac:dyDescent="0.3">
      <c r="B21" s="25"/>
      <c r="C21" s="25"/>
      <c r="D21" s="25"/>
      <c r="E21" s="25"/>
    </row>
    <row r="22" spans="2:5" ht="13.5" customHeight="1" x14ac:dyDescent="0.3">
      <c r="B22" s="25"/>
      <c r="C22" s="25"/>
      <c r="D22" s="25"/>
      <c r="E22" s="25"/>
    </row>
    <row r="23" spans="2:5" ht="13.5" customHeight="1" x14ac:dyDescent="0.3">
      <c r="B23" s="25"/>
      <c r="C23" s="25"/>
      <c r="D23" s="25"/>
      <c r="E23" s="25"/>
    </row>
    <row r="24" spans="2:5" ht="13.5" customHeight="1" x14ac:dyDescent="0.3">
      <c r="B24" s="25"/>
      <c r="C24" s="25"/>
      <c r="D24" s="25"/>
      <c r="E24" s="25"/>
    </row>
    <row r="25" spans="2:5" ht="13.5" customHeight="1" x14ac:dyDescent="0.3">
      <c r="B25" s="25"/>
      <c r="C25" s="25"/>
      <c r="D25" s="25"/>
      <c r="E25" s="25"/>
    </row>
    <row r="26" spans="2:5" ht="13.5" customHeight="1" x14ac:dyDescent="0.3">
      <c r="B26" s="25"/>
      <c r="C26" s="25"/>
      <c r="D26" s="25"/>
      <c r="E26" s="25"/>
    </row>
    <row r="27" spans="2:5" ht="13.5" customHeight="1" x14ac:dyDescent="0.3">
      <c r="B27" s="25"/>
      <c r="C27" s="25"/>
      <c r="D27" s="25"/>
      <c r="E27" s="25"/>
    </row>
    <row r="28" spans="2:5" ht="13.5" customHeight="1" x14ac:dyDescent="0.3">
      <c r="B28" s="25"/>
      <c r="C28" s="25"/>
      <c r="D28" s="25"/>
      <c r="E28" s="25"/>
    </row>
    <row r="29" spans="2:5" ht="13.5" customHeight="1" x14ac:dyDescent="0.3">
      <c r="B29" s="25"/>
      <c r="C29" s="25"/>
      <c r="D29" s="25"/>
      <c r="E29" s="25"/>
    </row>
    <row r="30" spans="2:5" ht="13.5" customHeight="1" x14ac:dyDescent="0.3">
      <c r="B30" s="25"/>
      <c r="C30" s="25"/>
      <c r="D30" s="25"/>
      <c r="E30" s="25"/>
    </row>
    <row r="31" spans="2:5" ht="13.5" customHeight="1" x14ac:dyDescent="0.3">
      <c r="B31" s="25"/>
      <c r="C31" s="25"/>
      <c r="D31" s="25"/>
      <c r="E31" s="25"/>
    </row>
    <row r="32" spans="2:5" ht="13.5" customHeight="1" x14ac:dyDescent="0.3">
      <c r="B32" s="25"/>
      <c r="C32" s="25"/>
      <c r="D32" s="25"/>
      <c r="E32" s="25"/>
    </row>
    <row r="33" spans="2:5" ht="13.5" customHeight="1" x14ac:dyDescent="0.3">
      <c r="B33" s="25"/>
      <c r="C33" s="25"/>
      <c r="D33" s="25"/>
      <c r="E33" s="25"/>
    </row>
    <row r="34" spans="2:5" ht="13.5" customHeight="1" x14ac:dyDescent="0.3">
      <c r="B34" s="25"/>
      <c r="C34" s="25"/>
      <c r="D34" s="25"/>
      <c r="E34" s="25"/>
    </row>
    <row r="35" spans="2:5" ht="13.5" customHeight="1" x14ac:dyDescent="0.3">
      <c r="B35" s="25"/>
      <c r="C35" s="25"/>
      <c r="D35" s="25"/>
      <c r="E35" s="25"/>
    </row>
    <row r="36" spans="2:5" ht="13.5" customHeight="1" x14ac:dyDescent="0.3">
      <c r="B36" s="25"/>
      <c r="C36" s="25"/>
      <c r="D36" s="25"/>
      <c r="E36" s="25"/>
    </row>
    <row r="37" spans="2:5" ht="13.5" customHeight="1" x14ac:dyDescent="0.3">
      <c r="B37" s="25"/>
      <c r="C37" s="25"/>
      <c r="D37" s="25"/>
      <c r="E37" s="25"/>
    </row>
    <row r="38" spans="2:5" ht="13.5" customHeight="1" x14ac:dyDescent="0.3">
      <c r="B38" s="25"/>
      <c r="C38" s="25"/>
      <c r="D38" s="25"/>
      <c r="E38" s="25"/>
    </row>
    <row r="39" spans="2:5" ht="13.5" customHeight="1" x14ac:dyDescent="0.3">
      <c r="B39" s="25"/>
      <c r="C39" s="25"/>
      <c r="D39" s="25"/>
      <c r="E39" s="25"/>
    </row>
    <row r="40" spans="2:5" ht="13.5" customHeight="1" x14ac:dyDescent="0.3">
      <c r="B40" s="25"/>
      <c r="C40" s="25"/>
      <c r="D40" s="25"/>
      <c r="E40" s="25"/>
    </row>
    <row r="41" spans="2:5" ht="13.5" customHeight="1" x14ac:dyDescent="0.3">
      <c r="B41" s="25"/>
      <c r="C41" s="25"/>
      <c r="D41" s="25"/>
      <c r="E41" s="25"/>
    </row>
    <row r="42" spans="2:5" ht="13.5" customHeight="1" x14ac:dyDescent="0.3">
      <c r="B42" s="25"/>
      <c r="C42" s="25"/>
      <c r="D42" s="25"/>
      <c r="E42" s="25"/>
    </row>
    <row r="43" spans="2:5" ht="13.5" customHeight="1" x14ac:dyDescent="0.3">
      <c r="B43" s="25"/>
      <c r="C43" s="25"/>
      <c r="D43" s="25"/>
      <c r="E43" s="25"/>
    </row>
    <row r="44" spans="2:5" ht="13.5" customHeight="1" x14ac:dyDescent="0.3">
      <c r="B44" s="25"/>
      <c r="C44" s="25"/>
      <c r="D44" s="25"/>
      <c r="E44" s="25"/>
    </row>
    <row r="45" spans="2:5" ht="13.5" customHeight="1" x14ac:dyDescent="0.3">
      <c r="B45" s="25"/>
      <c r="C45" s="25"/>
      <c r="D45" s="25"/>
      <c r="E45" s="25"/>
    </row>
    <row r="46" spans="2:5" ht="13.5" customHeight="1" x14ac:dyDescent="0.3">
      <c r="B46" s="25"/>
      <c r="C46" s="25"/>
      <c r="D46" s="25"/>
      <c r="E46" s="25"/>
    </row>
    <row r="47" spans="2:5" ht="13.5" customHeight="1" x14ac:dyDescent="0.3">
      <c r="B47" s="25"/>
      <c r="C47" s="25"/>
      <c r="D47" s="25"/>
      <c r="E47" s="25"/>
    </row>
    <row r="48" spans="2:5" ht="13.5" customHeight="1" x14ac:dyDescent="0.3">
      <c r="B48" s="25"/>
      <c r="C48" s="25"/>
      <c r="D48" s="25"/>
      <c r="E48" s="25"/>
    </row>
    <row r="49" spans="2:5" ht="13.5" customHeight="1" x14ac:dyDescent="0.3">
      <c r="B49" s="25"/>
      <c r="C49" s="25"/>
      <c r="D49" s="25"/>
      <c r="E49" s="25"/>
    </row>
    <row r="50" spans="2:5" ht="13.5" customHeight="1" x14ac:dyDescent="0.3">
      <c r="B50" s="25"/>
      <c r="C50" s="25"/>
      <c r="D50" s="25"/>
      <c r="E50" s="25"/>
    </row>
    <row r="51" spans="2:5" ht="13.5" customHeight="1" x14ac:dyDescent="0.3">
      <c r="B51" s="25"/>
      <c r="C51" s="25"/>
      <c r="D51" s="25"/>
      <c r="E51" s="25"/>
    </row>
    <row r="52" spans="2:5" ht="13.5" customHeight="1" x14ac:dyDescent="0.3">
      <c r="B52" s="25"/>
      <c r="C52" s="25"/>
      <c r="D52" s="25"/>
      <c r="E52" s="25"/>
    </row>
    <row r="53" spans="2:5" ht="13.5" customHeight="1" x14ac:dyDescent="0.3">
      <c r="B53" s="25"/>
      <c r="C53" s="25"/>
      <c r="D53" s="25"/>
      <c r="E53" s="25"/>
    </row>
    <row r="54" spans="2:5" ht="13.5" customHeight="1" x14ac:dyDescent="0.3">
      <c r="B54" s="25"/>
      <c r="C54" s="25"/>
      <c r="D54" s="25"/>
      <c r="E54" s="25"/>
    </row>
    <row r="55" spans="2:5" ht="13.5" customHeight="1" x14ac:dyDescent="0.3">
      <c r="B55" s="25"/>
      <c r="C55" s="25"/>
      <c r="D55" s="25"/>
      <c r="E55" s="25"/>
    </row>
    <row r="56" spans="2:5" ht="13.5" customHeight="1" x14ac:dyDescent="0.3">
      <c r="B56" s="25"/>
      <c r="C56" s="25"/>
      <c r="D56" s="25"/>
      <c r="E56" s="25"/>
    </row>
    <row r="57" spans="2:5" ht="13.5" customHeight="1" x14ac:dyDescent="0.3">
      <c r="B57" s="25"/>
      <c r="C57" s="25"/>
      <c r="D57" s="25"/>
      <c r="E57" s="25"/>
    </row>
    <row r="58" spans="2:5" ht="13.5" customHeight="1" x14ac:dyDescent="0.3">
      <c r="B58" s="25"/>
      <c r="C58" s="25"/>
      <c r="D58" s="25"/>
      <c r="E58" s="25"/>
    </row>
    <row r="59" spans="2:5" ht="13.5" customHeight="1" x14ac:dyDescent="0.3">
      <c r="B59" s="25"/>
      <c r="C59" s="25"/>
      <c r="D59" s="25"/>
      <c r="E59" s="25"/>
    </row>
    <row r="60" spans="2:5" ht="13.5" customHeight="1" x14ac:dyDescent="0.3">
      <c r="B60" s="25"/>
      <c r="C60" s="25"/>
      <c r="D60" s="25"/>
      <c r="E60" s="25"/>
    </row>
    <row r="61" spans="2:5" ht="13.5" customHeight="1" x14ac:dyDescent="0.3">
      <c r="B61" s="25"/>
      <c r="C61" s="25"/>
      <c r="D61" s="25"/>
      <c r="E61" s="25"/>
    </row>
    <row r="62" spans="2:5" ht="13.5" customHeight="1" x14ac:dyDescent="0.3">
      <c r="B62" s="25"/>
      <c r="C62" s="25"/>
      <c r="D62" s="25"/>
      <c r="E62" s="25"/>
    </row>
    <row r="63" spans="2:5" ht="13.5" customHeight="1" x14ac:dyDescent="0.3">
      <c r="B63" s="25"/>
      <c r="C63" s="25"/>
      <c r="D63" s="25"/>
      <c r="E63" s="25"/>
    </row>
    <row r="64" spans="2:5" ht="13.5" customHeight="1" x14ac:dyDescent="0.3">
      <c r="B64" s="25"/>
      <c r="C64" s="25"/>
      <c r="D64" s="25"/>
      <c r="E64" s="25"/>
    </row>
    <row r="65" spans="2:5" ht="13.5" customHeight="1" x14ac:dyDescent="0.3">
      <c r="B65" s="25"/>
      <c r="C65" s="25"/>
      <c r="D65" s="25"/>
      <c r="E65" s="25"/>
    </row>
    <row r="66" spans="2:5" ht="13.5" customHeight="1" x14ac:dyDescent="0.3">
      <c r="B66" s="25"/>
      <c r="C66" s="25"/>
      <c r="D66" s="25"/>
      <c r="E66" s="25"/>
    </row>
    <row r="67" spans="2:5" ht="13.5" customHeight="1" x14ac:dyDescent="0.3">
      <c r="B67" s="25"/>
      <c r="C67" s="25"/>
      <c r="D67" s="25"/>
      <c r="E67" s="25"/>
    </row>
    <row r="68" spans="2:5" ht="13.5" customHeight="1" x14ac:dyDescent="0.3">
      <c r="B68" s="25"/>
      <c r="C68" s="25"/>
      <c r="D68" s="25"/>
      <c r="E68" s="25"/>
    </row>
    <row r="69" spans="2:5" ht="13.5" customHeight="1" x14ac:dyDescent="0.3">
      <c r="B69" s="25"/>
      <c r="C69" s="25"/>
      <c r="D69" s="25"/>
      <c r="E69" s="25"/>
    </row>
    <row r="70" spans="2:5" ht="13.5" customHeight="1" x14ac:dyDescent="0.3">
      <c r="B70" s="25"/>
      <c r="C70" s="25"/>
      <c r="D70" s="25"/>
      <c r="E70" s="25"/>
    </row>
    <row r="71" spans="2:5" ht="13.5" customHeight="1" x14ac:dyDescent="0.3">
      <c r="B71" s="25"/>
      <c r="C71" s="25"/>
      <c r="D71" s="25"/>
      <c r="E71" s="25"/>
    </row>
    <row r="72" spans="2:5" ht="13.5" customHeight="1" x14ac:dyDescent="0.3">
      <c r="B72" s="25"/>
      <c r="C72" s="25"/>
      <c r="D72" s="25"/>
      <c r="E72" s="25"/>
    </row>
    <row r="73" spans="2:5" ht="13.5" customHeight="1" x14ac:dyDescent="0.3">
      <c r="B73" s="25"/>
      <c r="C73" s="25"/>
      <c r="D73" s="25"/>
      <c r="E73" s="25"/>
    </row>
    <row r="74" spans="2:5" ht="13.5" customHeight="1" x14ac:dyDescent="0.3">
      <c r="B74" s="25"/>
      <c r="C74" s="25"/>
      <c r="D74" s="25"/>
      <c r="E74" s="25"/>
    </row>
    <row r="75" spans="2:5" ht="13.5" customHeight="1" x14ac:dyDescent="0.3">
      <c r="B75" s="25"/>
      <c r="C75" s="25"/>
      <c r="D75" s="25"/>
      <c r="E75" s="25"/>
    </row>
    <row r="76" spans="2:5" ht="13.5" customHeight="1" x14ac:dyDescent="0.3">
      <c r="B76" s="25"/>
      <c r="C76" s="25"/>
      <c r="D76" s="25"/>
      <c r="E76" s="25"/>
    </row>
    <row r="77" spans="2:5" ht="13.5" customHeight="1" x14ac:dyDescent="0.3">
      <c r="B77" s="25"/>
      <c r="C77" s="25"/>
      <c r="D77" s="25"/>
      <c r="E77" s="25"/>
    </row>
    <row r="78" spans="2:5" ht="13.5" customHeight="1" x14ac:dyDescent="0.3">
      <c r="B78" s="25"/>
      <c r="C78" s="25"/>
      <c r="D78" s="25"/>
      <c r="E78" s="25"/>
    </row>
    <row r="79" spans="2:5" ht="13.5" customHeight="1" x14ac:dyDescent="0.3">
      <c r="B79" s="25"/>
      <c r="C79" s="25"/>
      <c r="D79" s="25"/>
      <c r="E79" s="25"/>
    </row>
  </sheetData>
  <mergeCells count="3">
    <mergeCell ref="B1:E1"/>
    <mergeCell ref="B2:E2"/>
    <mergeCell ref="B15:E1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54"/>
  <sheetViews>
    <sheetView topLeftCell="D19" workbookViewId="0">
      <selection activeCell="F24" sqref="F24"/>
    </sheetView>
  </sheetViews>
  <sheetFormatPr defaultRowHeight="14.4" x14ac:dyDescent="0.3"/>
  <cols>
    <col min="1" max="1" width="90" customWidth="1"/>
    <col min="2" max="2" width="11.5546875" customWidth="1"/>
    <col min="3" max="3" width="10.33203125" customWidth="1"/>
    <col min="4" max="4" width="11.88671875" customWidth="1"/>
    <col min="5" max="5" width="12.21875" customWidth="1"/>
    <col min="6" max="6" width="12.33203125" customWidth="1"/>
    <col min="7" max="7" width="42" customWidth="1"/>
    <col min="8" max="8" width="11.88671875" customWidth="1"/>
    <col min="9" max="9" width="12.21875" customWidth="1"/>
    <col min="10" max="11" width="11.88671875" customWidth="1"/>
    <col min="13" max="13" width="48.88671875" customWidth="1"/>
    <col min="14" max="18" width="11" customWidth="1"/>
  </cols>
  <sheetData>
    <row r="1" spans="1:18" ht="18" x14ac:dyDescent="0.35">
      <c r="A1" s="57" t="s">
        <v>302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8" ht="30.45" customHeight="1" x14ac:dyDescent="0.3">
      <c r="A2" s="59" t="s">
        <v>303</v>
      </c>
      <c r="B2" s="58"/>
      <c r="C2" s="58"/>
      <c r="D2" s="58"/>
      <c r="E2" s="58"/>
      <c r="F2" s="58"/>
      <c r="G2" s="58"/>
      <c r="H2" s="58"/>
      <c r="I2" s="58"/>
      <c r="J2" s="58"/>
      <c r="K2" s="58"/>
    </row>
    <row r="3" spans="1:18" x14ac:dyDescent="0.3">
      <c r="E3" s="67" t="s">
        <v>304</v>
      </c>
      <c r="F3" s="67"/>
      <c r="G3" s="67"/>
      <c r="I3" s="67" t="s">
        <v>305</v>
      </c>
      <c r="J3" s="67"/>
      <c r="K3" s="67"/>
      <c r="M3" s="67" t="s">
        <v>306</v>
      </c>
      <c r="N3" s="67"/>
      <c r="O3" s="67"/>
      <c r="P3" s="67"/>
      <c r="Q3" s="67"/>
      <c r="R3" s="67"/>
    </row>
    <row r="4" spans="1:18" x14ac:dyDescent="0.3">
      <c r="A4" s="35" t="s">
        <v>307</v>
      </c>
      <c r="B4" s="35" t="s">
        <v>165</v>
      </c>
      <c r="C4" s="35" t="s">
        <v>143</v>
      </c>
      <c r="E4" s="37" t="str">
        <f>$B$5</f>
        <v>BUS_22KV</v>
      </c>
      <c r="F4" s="37" t="str">
        <f>$B$6</f>
        <v>BARRA1_400V</v>
      </c>
      <c r="G4" s="37" t="str">
        <f>$B$7</f>
        <v>BARRA2_400V</v>
      </c>
      <c r="I4" s="37" t="str">
        <f>$B$5</f>
        <v>BUS_22KV</v>
      </c>
      <c r="J4" s="37" t="str">
        <f>$B$6</f>
        <v>BARRA1_400V</v>
      </c>
      <c r="K4" s="37" t="str">
        <f>$B$7</f>
        <v>BARRA2_400V</v>
      </c>
    </row>
    <row r="5" spans="1:18" x14ac:dyDescent="0.3">
      <c r="A5" s="36">
        <f>1</f>
        <v>1</v>
      </c>
      <c r="B5" t="str">
        <f>Buses!B5</f>
        <v>BUS_22KV</v>
      </c>
      <c r="C5">
        <f>Buses!D5</f>
        <v>22</v>
      </c>
      <c r="D5" s="37" t="str">
        <f>$B5</f>
        <v>BUS_22KV</v>
      </c>
      <c r="E5" s="38">
        <f>IF(OR($B5="",E$4=""),0,IF($B5=E$4,SUMPRODUCT((Fuentes!$H$5:$H$19="Sí")*(Fuentes!$B$5:$B$19=$B5)*(Fuentes!$D$5:$D$19)/((Fuentes!$D$5:$D$19)^2+(Fuentes!$E$5:$E$19)^2+1E-30))+SUMPRODUCT((Ramas!$I$5:$I$24="Sí")*(((Ramas!$C$5:$C$24=$B5)+(Ramas!$D$5:$D$24=$B5))&gt;0)*(Ramas!$E$5:$E$24)/((Ramas!$E$5:$E$24)^2+(Ramas!$F$5:$F$24)^2+1E-30)),-SUMPRODUCT((Ramas!$I$5:$I$24="Sí")*(((Ramas!$C$5:$C$24=$B5)*(Ramas!$D$5:$D$24=E$4))+((Ramas!$C$5:$C$24=E$4)*(Ramas!$D$5:$D$24=$B5)))*(Ramas!$E$5:$E$24)/((Ramas!$E$5:$E$24)^2+(Ramas!$F$5:$F$24)^2+1E-30))))</f>
        <v>0.24975000000000003</v>
      </c>
      <c r="F5" s="38">
        <f>IF(OR($B5="",F$4=""),0,IF($B5=F$4,SUMPRODUCT((Fuentes!$H$5:$H$19="Sí")*(Fuentes!$B$5:$B$19=$B5)*(Fuentes!$D$5:$D$19)/((Fuentes!$D$5:$D$19)^2+(Fuentes!$E$5:$E$19)^2+1E-30))+SUMPRODUCT((Ramas!$I$5:$I$24="Sí")*(((Ramas!$C$5:$C$24=$B5)+(Ramas!$D$5:$D$24=$B5))&gt;0)*(Ramas!$E$5:$E$24)/((Ramas!$E$5:$E$24)^2+(Ramas!$F$5:$F$24)^2+1E-30)),-SUMPRODUCT((Ramas!$I$5:$I$24="Sí")*(((Ramas!$C$5:$C$24=$B5)*(Ramas!$D$5:$D$24=F$4))+((Ramas!$C$5:$C$24=F$4)*(Ramas!$D$5:$D$24=$B5)))*(Ramas!$E$5:$E$24)/((Ramas!$E$5:$E$24)^2+(Ramas!$F$5:$F$24)^2+1E-30))))</f>
        <v>-0.12487500000000001</v>
      </c>
      <c r="G5" s="78">
        <f>IF(OR($B5="",G$4=""),0,IF($B5=G$4,SUMPRODUCT((Fuentes!$H$5:$H$19="Sí")*(Fuentes!$B$5:$B$19=$B5)*(Fuentes!$D$5:$D$19)/((Fuentes!$D$5:$D$19)^2+(Fuentes!$E$5:$E$19)^2+1E-30))+SUMPRODUCT((Ramas!$I$5:$I$24="Sí")*(((Ramas!$C$5:$C$24=$B5)+(Ramas!$D$5:$D$24=$B5))&gt;0)*(Ramas!$E$5:$E$24)/((Ramas!$E$5:$E$24)^2+(Ramas!$F$5:$F$24)^2+1E-30)),-SUMPRODUCT((Ramas!$I$5:$I$24="Sí")*(((Ramas!$C$5:$C$24=$B5)*(Ramas!$D$5:$D$24=G$4))+((Ramas!$C$5:$C$24=G$4)*(Ramas!$D$5:$D$24=$B5)))*(Ramas!$E$5:$E$24)/((Ramas!$E$5:$E$24)^2+(Ramas!$F$5:$F$24)^2+1E-30))))</f>
        <v>-0.12487500000000001</v>
      </c>
      <c r="H5" s="80" t="str">
        <f>$B5</f>
        <v>BUS_22KV</v>
      </c>
      <c r="I5" s="78">
        <f>IF(OR($B5="",I$4=""),0,IF($B5=I$4,SUMPRODUCT((Fuentes!$H$5:$H$19="Sí")*(Fuentes!$B$5:$B$19=$B5)*(-Fuentes!$E$5:$E$19)/((Fuentes!$D$5:$D$19)^2+(Fuentes!$E$5:$E$19)^2+1E-30))+SUMPRODUCT((Ramas!$I$5:$I$24="Sí")*(((Ramas!$C$5:$C$24=$B5)+(Ramas!$D$5:$D$24=$B5))&gt;0)*(-Ramas!$F$5:$F$24)/((Ramas!$E$5:$E$24)^2+(Ramas!$F$5:$F$24)^2+1E-30)),SUMPRODUCT((Ramas!$I$5:$I$24="Sí")*(((Ramas!$C$5:$C$24=$B5)*(Ramas!$D$5:$D$24=I$4))+((Ramas!$C$5:$C$24=I$4)*(Ramas!$D$5:$D$24=$B5)))*(Ramas!$F$5:$F$24)/((Ramas!$E$5:$E$24)^2+(Ramas!$F$5:$F$24)^2+1E-30))))</f>
        <v>-5.0111775444530524</v>
      </c>
      <c r="J5" s="78">
        <f>IF(OR($B5="",J$4=""),0,IF($B5=J$4,SUMPRODUCT((Fuentes!$H$5:$H$19="Sí")*(Fuentes!$B$5:$B$19=$B5)*(-Fuentes!$E$5:$E$19)/((Fuentes!$D$5:$D$19)^2+(Fuentes!$E$5:$E$19)^2+1E-30))+SUMPRODUCT((Ramas!$I$5:$I$24="Sí")*(((Ramas!$C$5:$C$24=$B5)+(Ramas!$D$5:$D$24=$B5))&gt;0)*(-Ramas!$F$5:$F$24)/((Ramas!$E$5:$E$24)^2+(Ramas!$F$5:$F$24)^2+1E-30)),SUMPRODUCT((Ramas!$I$5:$I$24="Sí")*(((Ramas!$C$5:$C$24=$B5)*(Ramas!$D$5:$D$24=J$4))+((Ramas!$C$5:$C$24=J$4)*(Ramas!$D$5:$D$24=$B5)))*(Ramas!$F$5:$F$24)/((Ramas!$E$5:$E$24)^2+(Ramas!$F$5:$F$24)^2+1E-30))))</f>
        <v>5.5887722265266912E-3</v>
      </c>
      <c r="K5" s="78">
        <f>IF(OR($B5="",K$4=""),0,IF($B5=K$4,SUMPRODUCT((Fuentes!$H$5:$H$19="Sí")*(Fuentes!$B$5:$B$19=$B5)*(-Fuentes!$E$5:$E$19)/((Fuentes!$D$5:$D$19)^2+(Fuentes!$E$5:$E$19)^2+1E-30))+SUMPRODUCT((Ramas!$I$5:$I$24="Sí")*(((Ramas!$C$5:$C$24=$B5)+(Ramas!$D$5:$D$24=$B5))&gt;0)*(-Ramas!$F$5:$F$24)/((Ramas!$E$5:$E$24)^2+(Ramas!$F$5:$F$24)^2+1E-30)),SUMPRODUCT((Ramas!$I$5:$I$24="Sí")*(((Ramas!$C$5:$C$24=$B5)*(Ramas!$D$5:$D$24=K$4))+((Ramas!$C$5:$C$24=K$4)*(Ramas!$D$5:$D$24=$B5)))*(Ramas!$F$5:$F$24)/((Ramas!$E$5:$E$24)^2+(Ramas!$F$5:$F$24)^2+1E-30))))</f>
        <v>5.5887722265266912E-3</v>
      </c>
      <c r="M5" s="78">
        <f t="shared" ref="M5:R10" si="0">IF(AND(ROW()-ROW($M$5)+1&lt;=3,COLUMN()-COLUMN($M$5)+1&lt;=3),INDEX($E$5:$G$7,ROW()-ROW($M$5)+1,COLUMN()-COLUMN($M$5)+1),IF(AND(ROW()-ROW($M$5)+1&lt;=3,COLUMN()-COLUMN($M$5)+1&gt;3),-INDEX($I$5:$K$7,ROW()-ROW($M$5)+1,COLUMN()-COLUMN($M$5)+1-3),IF(AND(ROW()-ROW($M$5)+1&gt;3,COLUMN()-COLUMN($M$5)+1&lt;=3),INDEX($I$5:$K$7,ROW()-ROW($M$5)+1-3,COLUMN()-COLUMN($M$5)+1),INDEX($E$5:$G$7,ROW()-ROW($M$5)+1-3,COLUMN()-COLUMN($M$5)+1-3))))</f>
        <v>0.24975000000000003</v>
      </c>
      <c r="N5" s="78">
        <f t="shared" si="0"/>
        <v>-0.12487500000000001</v>
      </c>
      <c r="O5" s="78">
        <f t="shared" si="0"/>
        <v>-0.12487500000000001</v>
      </c>
      <c r="P5" s="78">
        <f t="shared" si="0"/>
        <v>5.0111775444530524</v>
      </c>
      <c r="Q5" s="78">
        <f t="shared" si="0"/>
        <v>-5.5887722265266912E-3</v>
      </c>
      <c r="R5" s="78">
        <f t="shared" si="0"/>
        <v>-5.5887722265266912E-3</v>
      </c>
    </row>
    <row r="6" spans="1:18" x14ac:dyDescent="0.3">
      <c r="A6" s="36">
        <f>2</f>
        <v>2</v>
      </c>
      <c r="B6" t="str">
        <f>Buses!B6</f>
        <v>BARRA1_400V</v>
      </c>
      <c r="C6">
        <f>Buses!D6</f>
        <v>0.4</v>
      </c>
      <c r="D6" s="37" t="str">
        <f>$B6</f>
        <v>BARRA1_400V</v>
      </c>
      <c r="E6" s="38">
        <f>IF(OR($B6="",E$4=""),0,IF($B6=E$4,SUMPRODUCT((Fuentes!$H$5:$H$19="Sí")*(Fuentes!$B$5:$B$19=$B6)*(Fuentes!$D$5:$D$19)/((Fuentes!$D$5:$D$19)^2+(Fuentes!$E$5:$E$19)^2+1E-30))+SUMPRODUCT((Ramas!$I$5:$I$24="Sí")*(((Ramas!$C$5:$C$24=$B6)+(Ramas!$D$5:$D$24=$B6))&gt;0)*(Ramas!$E$5:$E$24)/((Ramas!$E$5:$E$24)^2+(Ramas!$F$5:$F$24)^2+1E-30)),-SUMPRODUCT((Ramas!$I$5:$I$24="Sí")*(((Ramas!$C$5:$C$24=$B6)*(Ramas!$D$5:$D$24=E$4))+((Ramas!$C$5:$C$24=E$4)*(Ramas!$D$5:$D$24=$B6)))*(Ramas!$E$5:$E$24)/((Ramas!$E$5:$E$24)^2+(Ramas!$F$5:$F$24)^2+1E-30))))</f>
        <v>-0.12487500000000001</v>
      </c>
      <c r="F6" s="38">
        <f>IF(OR($B6="",F$4=""),0,IF($B6=F$4,SUMPRODUCT((Fuentes!$H$5:$H$19="Sí")*(Fuentes!$B$5:$B$19=$B6)*(Fuentes!$D$5:$D$19)/((Fuentes!$D$5:$D$19)^2+(Fuentes!$E$5:$E$19)^2+1E-30))+SUMPRODUCT((Ramas!$I$5:$I$24="Sí")*(((Ramas!$C$5:$C$24=$B6)+(Ramas!$D$5:$D$24=$B6))&gt;0)*(Ramas!$E$5:$E$24)/((Ramas!$E$5:$E$24)^2+(Ramas!$F$5:$F$24)^2+1E-30)),-SUMPRODUCT((Ramas!$I$5:$I$24="Sí")*(((Ramas!$C$5:$C$24=$B6)*(Ramas!$D$5:$D$24=F$4))+((Ramas!$C$5:$C$24=F$4)*(Ramas!$D$5:$D$24=$B6)))*(Ramas!$E$5:$E$24)/((Ramas!$E$5:$E$24)^2+(Ramas!$F$5:$F$24)^2+1E-30))))</f>
        <v>0.12487500000000001</v>
      </c>
      <c r="G6" s="78">
        <f>IF(OR($B6="",G$4=""),0,IF($B6=G$4,SUMPRODUCT((Fuentes!$H$5:$H$19="Sí")*(Fuentes!$B$5:$B$19=$B6)*(Fuentes!$D$5:$D$19)/((Fuentes!$D$5:$D$19)^2+(Fuentes!$E$5:$E$19)^2+1E-30))+SUMPRODUCT((Ramas!$I$5:$I$24="Sí")*(((Ramas!$C$5:$C$24=$B6)+(Ramas!$D$5:$D$24=$B6))&gt;0)*(Ramas!$E$5:$E$24)/((Ramas!$E$5:$E$24)^2+(Ramas!$F$5:$F$24)^2+1E-30)),-SUMPRODUCT((Ramas!$I$5:$I$24="Sí")*(((Ramas!$C$5:$C$24=$B6)*(Ramas!$D$5:$D$24=G$4))+((Ramas!$C$5:$C$24=G$4)*(Ramas!$D$5:$D$24=$B6)))*(Ramas!$E$5:$E$24)/((Ramas!$E$5:$E$24)^2+(Ramas!$F$5:$F$24)^2+1E-30))))</f>
        <v>0</v>
      </c>
      <c r="H6" s="80" t="str">
        <f>$B6</f>
        <v>BARRA1_400V</v>
      </c>
      <c r="I6" s="78">
        <f>IF(OR($B6="",I$4=""),0,IF($B6=I$4,SUMPRODUCT((Fuentes!$H$5:$H$19="Sí")*(Fuentes!$B$5:$B$19=$B6)*(-Fuentes!$E$5:$E$19)/((Fuentes!$D$5:$D$19)^2+(Fuentes!$E$5:$E$19)^2+1E-30))+SUMPRODUCT((Ramas!$I$5:$I$24="Sí")*(((Ramas!$C$5:$C$24=$B6)+(Ramas!$D$5:$D$24=$B6))&gt;0)*(-Ramas!$F$5:$F$24)/((Ramas!$E$5:$E$24)^2+(Ramas!$F$5:$F$24)^2+1E-30)),SUMPRODUCT((Ramas!$I$5:$I$24="Sí")*(((Ramas!$C$5:$C$24=$B6)*(Ramas!$D$5:$D$24=I$4))+((Ramas!$C$5:$C$24=I$4)*(Ramas!$D$5:$D$24=$B6)))*(Ramas!$F$5:$F$24)/((Ramas!$E$5:$E$24)^2+(Ramas!$F$5:$F$24)^2+1E-30))))</f>
        <v>5.5887722265266912E-3</v>
      </c>
      <c r="J6" s="78">
        <f>IF(OR($B6="",J$4=""),0,IF($B6=J$4,SUMPRODUCT((Fuentes!$H$5:$H$19="Sí")*(Fuentes!$B$5:$B$19=$B6)*(-Fuentes!$E$5:$E$19)/((Fuentes!$D$5:$D$19)^2+(Fuentes!$E$5:$E$19)^2+1E-30))+SUMPRODUCT((Ramas!$I$5:$I$24="Sí")*(((Ramas!$C$5:$C$24=$B6)+(Ramas!$D$5:$D$24=$B6))&gt;0)*(-Ramas!$F$5:$F$24)/((Ramas!$E$5:$E$24)^2+(Ramas!$F$5:$F$24)^2+1E-30)),SUMPRODUCT((Ramas!$I$5:$I$24="Sí")*(((Ramas!$C$5:$C$24=$B6)*(Ramas!$D$5:$D$24=J$4))+((Ramas!$C$5:$C$24=J$4)*(Ramas!$D$5:$D$24=$B6)))*(Ramas!$F$5:$F$24)/((Ramas!$E$5:$E$24)^2+(Ramas!$F$5:$F$24)^2+1E-30))))</f>
        <v>-5.5887722265266912E-3</v>
      </c>
      <c r="K6" s="78">
        <f>IF(OR($B6="",K$4=""),0,IF($B6=K$4,SUMPRODUCT((Fuentes!$H$5:$H$19="Sí")*(Fuentes!$B$5:$B$19=$B6)*(-Fuentes!$E$5:$E$19)/((Fuentes!$D$5:$D$19)^2+(Fuentes!$E$5:$E$19)^2+1E-30))+SUMPRODUCT((Ramas!$I$5:$I$24="Sí")*(((Ramas!$C$5:$C$24=$B6)+(Ramas!$D$5:$D$24=$B6))&gt;0)*(-Ramas!$F$5:$F$24)/((Ramas!$E$5:$E$24)^2+(Ramas!$F$5:$F$24)^2+1E-30)),SUMPRODUCT((Ramas!$I$5:$I$24="Sí")*(((Ramas!$C$5:$C$24=$B6)*(Ramas!$D$5:$D$24=K$4))+((Ramas!$C$5:$C$24=K$4)*(Ramas!$D$5:$D$24=$B6)))*(Ramas!$F$5:$F$24)/((Ramas!$E$5:$E$24)^2+(Ramas!$F$5:$F$24)^2+1E-30))))</f>
        <v>0</v>
      </c>
      <c r="M6" s="78">
        <f t="shared" si="0"/>
        <v>-0.12487500000000001</v>
      </c>
      <c r="N6" s="78">
        <f t="shared" si="0"/>
        <v>0.12487500000000001</v>
      </c>
      <c r="O6" s="78">
        <f t="shared" si="0"/>
        <v>0</v>
      </c>
      <c r="P6" s="78">
        <f t="shared" si="0"/>
        <v>-5.5887722265266912E-3</v>
      </c>
      <c r="Q6" s="78">
        <f t="shared" si="0"/>
        <v>5.5887722265266912E-3</v>
      </c>
      <c r="R6" s="78">
        <f t="shared" si="0"/>
        <v>0</v>
      </c>
    </row>
    <row r="7" spans="1:18" x14ac:dyDescent="0.3">
      <c r="A7" s="36">
        <f>3</f>
        <v>3</v>
      </c>
      <c r="B7" t="str">
        <f>Buses!B7</f>
        <v>BARRA2_400V</v>
      </c>
      <c r="C7">
        <f>Buses!D7</f>
        <v>0.4</v>
      </c>
      <c r="D7" s="37" t="str">
        <f>$B7</f>
        <v>BARRA2_400V</v>
      </c>
      <c r="E7" s="38">
        <f>IF(OR($B7="",E$4=""),0,IF($B7=E$4,SUMPRODUCT((Fuentes!$H$5:$H$19="Sí")*(Fuentes!$B$5:$B$19=$B7)*(Fuentes!$D$5:$D$19)/((Fuentes!$D$5:$D$19)^2+(Fuentes!$E$5:$E$19)^2+1E-30))+SUMPRODUCT((Ramas!$I$5:$I$24="Sí")*(((Ramas!$C$5:$C$24=$B7)+(Ramas!$D$5:$D$24=$B7))&gt;0)*(Ramas!$E$5:$E$24)/((Ramas!$E$5:$E$24)^2+(Ramas!$F$5:$F$24)^2+1E-30)),-SUMPRODUCT((Ramas!$I$5:$I$24="Sí")*(((Ramas!$C$5:$C$24=$B7)*(Ramas!$D$5:$D$24=E$4))+((Ramas!$C$5:$C$24=E$4)*(Ramas!$D$5:$D$24=$B7)))*(Ramas!$E$5:$E$24)/((Ramas!$E$5:$E$24)^2+(Ramas!$F$5:$F$24)^2+1E-30))))</f>
        <v>-0.12487500000000001</v>
      </c>
      <c r="F7" s="38">
        <f>IF(OR($B7="",F$4=""),0,IF($B7=F$4,SUMPRODUCT((Fuentes!$H$5:$H$19="Sí")*(Fuentes!$B$5:$B$19=$B7)*(Fuentes!$D$5:$D$19)/((Fuentes!$D$5:$D$19)^2+(Fuentes!$E$5:$E$19)^2+1E-30))+SUMPRODUCT((Ramas!$I$5:$I$24="Sí")*(((Ramas!$C$5:$C$24=$B7)+(Ramas!$D$5:$D$24=$B7))&gt;0)*(Ramas!$E$5:$E$24)/((Ramas!$E$5:$E$24)^2+(Ramas!$F$5:$F$24)^2+1E-30)),-SUMPRODUCT((Ramas!$I$5:$I$24="Sí")*(((Ramas!$C$5:$C$24=$B7)*(Ramas!$D$5:$D$24=F$4))+((Ramas!$C$5:$C$24=F$4)*(Ramas!$D$5:$D$24=$B7)))*(Ramas!$E$5:$E$24)/((Ramas!$E$5:$E$24)^2+(Ramas!$F$5:$F$24)^2+1E-30))))</f>
        <v>0</v>
      </c>
      <c r="G7" s="78">
        <f>IF(OR($B7="",G$4=""),0,IF($B7=G$4,SUMPRODUCT((Fuentes!$H$5:$H$19="Sí")*(Fuentes!$B$5:$B$19=$B7)*(Fuentes!$D$5:$D$19)/((Fuentes!$D$5:$D$19)^2+(Fuentes!$E$5:$E$19)^2+1E-30))+SUMPRODUCT((Ramas!$I$5:$I$24="Sí")*(((Ramas!$C$5:$C$24=$B7)+(Ramas!$D$5:$D$24=$B7))&gt;0)*(Ramas!$E$5:$E$24)/((Ramas!$E$5:$E$24)^2+(Ramas!$F$5:$F$24)^2+1E-30)),-SUMPRODUCT((Ramas!$I$5:$I$24="Sí")*(((Ramas!$C$5:$C$24=$B7)*(Ramas!$D$5:$D$24=G$4))+((Ramas!$C$5:$C$24=G$4)*(Ramas!$D$5:$D$24=$B7)))*(Ramas!$E$5:$E$24)/((Ramas!$E$5:$E$24)^2+(Ramas!$F$5:$F$24)^2+1E-30))))</f>
        <v>0.12487500000000001</v>
      </c>
      <c r="H7" s="80" t="str">
        <f>$B7</f>
        <v>BARRA2_400V</v>
      </c>
      <c r="I7" s="78">
        <f>IF(OR($B7="",I$4=""),0,IF($B7=I$4,SUMPRODUCT((Fuentes!$H$5:$H$19="Sí")*(Fuentes!$B$5:$B$19=$B7)*(-Fuentes!$E$5:$E$19)/((Fuentes!$D$5:$D$19)^2+(Fuentes!$E$5:$E$19)^2+1E-30))+SUMPRODUCT((Ramas!$I$5:$I$24="Sí")*(((Ramas!$C$5:$C$24=$B7)+(Ramas!$D$5:$D$24=$B7))&gt;0)*(-Ramas!$F$5:$F$24)/((Ramas!$E$5:$E$24)^2+(Ramas!$F$5:$F$24)^2+1E-30)),SUMPRODUCT((Ramas!$I$5:$I$24="Sí")*(((Ramas!$C$5:$C$24=$B7)*(Ramas!$D$5:$D$24=I$4))+((Ramas!$C$5:$C$24=I$4)*(Ramas!$D$5:$D$24=$B7)))*(Ramas!$F$5:$F$24)/((Ramas!$E$5:$E$24)^2+(Ramas!$F$5:$F$24)^2+1E-30))))</f>
        <v>5.5887722265266912E-3</v>
      </c>
      <c r="J7" s="78">
        <f>IF(OR($B7="",J$4=""),0,IF($B7=J$4,SUMPRODUCT((Fuentes!$H$5:$H$19="Sí")*(Fuentes!$B$5:$B$19=$B7)*(-Fuentes!$E$5:$E$19)/((Fuentes!$D$5:$D$19)^2+(Fuentes!$E$5:$E$19)^2+1E-30))+SUMPRODUCT((Ramas!$I$5:$I$24="Sí")*(((Ramas!$C$5:$C$24=$B7)+(Ramas!$D$5:$D$24=$B7))&gt;0)*(-Ramas!$F$5:$F$24)/((Ramas!$E$5:$E$24)^2+(Ramas!$F$5:$F$24)^2+1E-30)),SUMPRODUCT((Ramas!$I$5:$I$24="Sí")*(((Ramas!$C$5:$C$24=$B7)*(Ramas!$D$5:$D$24=J$4))+((Ramas!$C$5:$C$24=J$4)*(Ramas!$D$5:$D$24=$B7)))*(Ramas!$F$5:$F$24)/((Ramas!$E$5:$E$24)^2+(Ramas!$F$5:$F$24)^2+1E-30))))</f>
        <v>0</v>
      </c>
      <c r="K7" s="78">
        <f>IF(OR($B7="",K$4=""),0,IF($B7=K$4,SUMPRODUCT((Fuentes!$H$5:$H$19="Sí")*(Fuentes!$B$5:$B$19=$B7)*(-Fuentes!$E$5:$E$19)/((Fuentes!$D$5:$D$19)^2+(Fuentes!$E$5:$E$19)^2+1E-30))+SUMPRODUCT((Ramas!$I$5:$I$24="Sí")*(((Ramas!$C$5:$C$24=$B7)+(Ramas!$D$5:$D$24=$B7))&gt;0)*(-Ramas!$F$5:$F$24)/((Ramas!$E$5:$E$24)^2+(Ramas!$F$5:$F$24)^2+1E-30)),SUMPRODUCT((Ramas!$I$5:$I$24="Sí")*(((Ramas!$C$5:$C$24=$B7)*(Ramas!$D$5:$D$24=K$4))+((Ramas!$C$5:$C$24=K$4)*(Ramas!$D$5:$D$24=$B7)))*(Ramas!$F$5:$F$24)/((Ramas!$E$5:$E$24)^2+(Ramas!$F$5:$F$24)^2+1E-30))))</f>
        <v>-4.7255438893193356E-2</v>
      </c>
      <c r="M7" s="78">
        <f t="shared" si="0"/>
        <v>-0.12487500000000001</v>
      </c>
      <c r="N7" s="78">
        <f t="shared" si="0"/>
        <v>0</v>
      </c>
      <c r="O7" s="78">
        <f t="shared" si="0"/>
        <v>0.12487500000000001</v>
      </c>
      <c r="P7" s="78">
        <f t="shared" si="0"/>
        <v>-5.5887722265266912E-3</v>
      </c>
      <c r="Q7" s="78">
        <f t="shared" si="0"/>
        <v>0</v>
      </c>
      <c r="R7" s="78">
        <f t="shared" si="0"/>
        <v>4.7255438893193356E-2</v>
      </c>
    </row>
    <row r="8" spans="1:18" x14ac:dyDescent="0.3">
      <c r="M8" s="78">
        <f t="shared" si="0"/>
        <v>-5.0111775444530524</v>
      </c>
      <c r="N8" s="78">
        <f t="shared" si="0"/>
        <v>5.5887722265266912E-3</v>
      </c>
      <c r="O8" s="78">
        <f t="shared" si="0"/>
        <v>5.5887722265266912E-3</v>
      </c>
      <c r="P8" s="78">
        <f t="shared" si="0"/>
        <v>0.24975000000000003</v>
      </c>
      <c r="Q8" s="78">
        <f t="shared" si="0"/>
        <v>-0.12487500000000001</v>
      </c>
      <c r="R8" s="78">
        <f t="shared" si="0"/>
        <v>-0.12487500000000001</v>
      </c>
    </row>
    <row r="9" spans="1:18" x14ac:dyDescent="0.3">
      <c r="M9" s="78">
        <f t="shared" si="0"/>
        <v>5.5887722265266912E-3</v>
      </c>
      <c r="N9" s="78">
        <f t="shared" si="0"/>
        <v>-5.5887722265266912E-3</v>
      </c>
      <c r="O9" s="78">
        <f t="shared" si="0"/>
        <v>0</v>
      </c>
      <c r="P9" s="78">
        <f t="shared" si="0"/>
        <v>-0.12487500000000001</v>
      </c>
      <c r="Q9" s="78">
        <f t="shared" si="0"/>
        <v>0.12487500000000001</v>
      </c>
      <c r="R9" s="78">
        <f t="shared" si="0"/>
        <v>0</v>
      </c>
    </row>
    <row r="10" spans="1:18" x14ac:dyDescent="0.3">
      <c r="M10" s="78">
        <f t="shared" si="0"/>
        <v>5.5887722265266912E-3</v>
      </c>
      <c r="N10" s="78">
        <f t="shared" si="0"/>
        <v>0</v>
      </c>
      <c r="O10" s="78">
        <f t="shared" si="0"/>
        <v>-4.7255438893193356E-2</v>
      </c>
      <c r="P10" s="78">
        <f t="shared" si="0"/>
        <v>-0.12487500000000001</v>
      </c>
      <c r="Q10" s="78">
        <f t="shared" si="0"/>
        <v>0</v>
      </c>
      <c r="R10" s="78">
        <f t="shared" si="0"/>
        <v>0.12487500000000001</v>
      </c>
    </row>
    <row r="11" spans="1:18" x14ac:dyDescent="0.3">
      <c r="M11" s="78"/>
      <c r="N11" s="78"/>
      <c r="O11" s="78"/>
      <c r="P11" s="78"/>
      <c r="Q11" s="78"/>
      <c r="R11" s="78"/>
    </row>
    <row r="12" spans="1:18" x14ac:dyDescent="0.3">
      <c r="M12" s="78"/>
      <c r="N12" s="78"/>
      <c r="O12" s="78"/>
      <c r="P12" s="78"/>
      <c r="Q12" s="78"/>
      <c r="R12" s="78"/>
    </row>
    <row r="13" spans="1:18" x14ac:dyDescent="0.3">
      <c r="M13" s="79" t="s">
        <v>308</v>
      </c>
      <c r="N13" s="79"/>
      <c r="O13" s="79"/>
      <c r="P13" s="79"/>
      <c r="Q13" s="79"/>
      <c r="R13" s="79"/>
    </row>
    <row r="14" spans="1:18" x14ac:dyDescent="0.3">
      <c r="M14" s="78">
        <f t="shared" ref="M14:R19" si="1">INDEX(MINVERSE($M$5:$R$10),ROW()-ROW($M$14)+1,COLUMN()-COLUMN($M$14)+1)</f>
        <v>4.7931501073902806E-4</v>
      </c>
      <c r="N14" s="78">
        <f t="shared" si="1"/>
        <v>4.7931501073902947E-4</v>
      </c>
      <c r="O14" s="78">
        <f t="shared" si="1"/>
        <v>-5.7517801288683557E-2</v>
      </c>
      <c r="P14" s="78">
        <f t="shared" si="1"/>
        <v>-0.19852716900215844</v>
      </c>
      <c r="Q14" s="78">
        <f t="shared" si="1"/>
        <v>-0.19852716900215842</v>
      </c>
      <c r="R14" s="78">
        <f t="shared" si="1"/>
        <v>-0.17673971974099328</v>
      </c>
    </row>
    <row r="15" spans="1:18" x14ac:dyDescent="0.3">
      <c r="M15" s="78">
        <f t="shared" si="1"/>
        <v>4.7931501073902953E-4</v>
      </c>
      <c r="N15" s="78">
        <f t="shared" si="1"/>
        <v>7.9924793150107396</v>
      </c>
      <c r="O15" s="78">
        <f t="shared" si="1"/>
        <v>-5.7517801288683557E-2</v>
      </c>
      <c r="P15" s="78">
        <f t="shared" si="1"/>
        <v>-0.19852716900215842</v>
      </c>
      <c r="Q15" s="78">
        <f t="shared" si="1"/>
        <v>-0.55620859149986646</v>
      </c>
      <c r="R15" s="78">
        <f t="shared" si="1"/>
        <v>-0.17673971974099326</v>
      </c>
    </row>
    <row r="16" spans="1:18" x14ac:dyDescent="0.3">
      <c r="M16" s="78">
        <f t="shared" si="1"/>
        <v>-5.751780128868355E-2</v>
      </c>
      <c r="N16" s="78">
        <f t="shared" si="1"/>
        <v>-5.7517801288683536E-2</v>
      </c>
      <c r="O16" s="78">
        <f t="shared" si="1"/>
        <v>6.9021361546420232</v>
      </c>
      <c r="P16" s="78">
        <f t="shared" si="1"/>
        <v>-0.17673971974099326</v>
      </c>
      <c r="Q16" s="78">
        <f t="shared" si="1"/>
        <v>-0.17673971974099326</v>
      </c>
      <c r="R16" s="78">
        <f t="shared" si="1"/>
        <v>-2.7912336310808108</v>
      </c>
    </row>
    <row r="17" spans="1:18" x14ac:dyDescent="0.3">
      <c r="M17" s="78">
        <f t="shared" si="1"/>
        <v>0.19852716900215842</v>
      </c>
      <c r="N17" s="78">
        <f t="shared" si="1"/>
        <v>0.19852716900215842</v>
      </c>
      <c r="O17" s="78">
        <f t="shared" si="1"/>
        <v>0.17673971974099326</v>
      </c>
      <c r="P17" s="78">
        <f t="shared" si="1"/>
        <v>4.7931501073903028E-4</v>
      </c>
      <c r="Q17" s="78">
        <f t="shared" si="1"/>
        <v>4.7931501073902958E-4</v>
      </c>
      <c r="R17" s="78">
        <f t="shared" si="1"/>
        <v>-5.7517801288683536E-2</v>
      </c>
    </row>
    <row r="18" spans="1:18" x14ac:dyDescent="0.3">
      <c r="M18" s="78">
        <f t="shared" si="1"/>
        <v>0.19852716900215842</v>
      </c>
      <c r="N18" s="78">
        <f t="shared" si="1"/>
        <v>0.55620859149986668</v>
      </c>
      <c r="O18" s="78">
        <f t="shared" si="1"/>
        <v>0.17673971974099328</v>
      </c>
      <c r="P18" s="78">
        <f t="shared" si="1"/>
        <v>4.7931501073903023E-4</v>
      </c>
      <c r="Q18" s="78">
        <f t="shared" si="1"/>
        <v>7.9924793150107396</v>
      </c>
      <c r="R18" s="78">
        <f t="shared" si="1"/>
        <v>-5.7517801288683529E-2</v>
      </c>
    </row>
    <row r="19" spans="1:18" x14ac:dyDescent="0.3">
      <c r="M19" s="78">
        <f t="shared" si="1"/>
        <v>0.17673971974099331</v>
      </c>
      <c r="N19" s="78">
        <f t="shared" si="1"/>
        <v>0.17673971974099328</v>
      </c>
      <c r="O19" s="78">
        <f t="shared" si="1"/>
        <v>2.7912336310808117</v>
      </c>
      <c r="P19" s="78">
        <f t="shared" si="1"/>
        <v>-5.7517801288683543E-2</v>
      </c>
      <c r="Q19" s="78">
        <f t="shared" si="1"/>
        <v>-5.7517801288683543E-2</v>
      </c>
      <c r="R19" s="78">
        <f t="shared" si="1"/>
        <v>6.9021361546420232</v>
      </c>
    </row>
    <row r="22" spans="1:18" x14ac:dyDescent="0.3">
      <c r="A22" s="68" t="s">
        <v>309</v>
      </c>
      <c r="B22" s="68"/>
      <c r="C22" s="68"/>
      <c r="D22" s="68"/>
      <c r="E22" s="68"/>
      <c r="F22" s="68"/>
      <c r="G22" s="68"/>
    </row>
    <row r="23" spans="1:18" x14ac:dyDescent="0.3">
      <c r="A23" s="35" t="s">
        <v>307</v>
      </c>
      <c r="B23" s="35" t="s">
        <v>165</v>
      </c>
      <c r="C23" s="35" t="s">
        <v>310</v>
      </c>
      <c r="D23" s="35" t="s">
        <v>311</v>
      </c>
      <c r="E23" s="35" t="s">
        <v>312</v>
      </c>
      <c r="F23" s="35" t="s">
        <v>187</v>
      </c>
      <c r="G23" s="35" t="s">
        <v>313</v>
      </c>
    </row>
    <row r="24" spans="1:18" x14ac:dyDescent="0.3">
      <c r="A24" s="38">
        <f>1</f>
        <v>1</v>
      </c>
      <c r="B24" s="38" t="str">
        <f>$B$5</f>
        <v>BUS_22KV</v>
      </c>
      <c r="C24" s="38">
        <f>INDEX($M$14:$R$19,1,1)</f>
        <v>4.7931501073902806E-4</v>
      </c>
      <c r="D24" s="38">
        <f>INDEX($M$14:$R$19,4,1)</f>
        <v>0.19852716900215842</v>
      </c>
      <c r="E24" s="38">
        <f>SQRT(C24^2+D24^2)</f>
        <v>0.19852774761954836</v>
      </c>
      <c r="F24" s="38">
        <f>IFERROR(ABS(D24/C24),999)</f>
        <v>414.18934219493957</v>
      </c>
      <c r="G24" t="str">
        <f>"R=INDEX(M1^-1,1,1); X=INDEX(M1^-1,4,1)"</f>
        <v>R=INDEX(M1^-1,1,1); X=INDEX(M1^-1,4,1)</v>
      </c>
    </row>
    <row r="25" spans="1:18" x14ac:dyDescent="0.3">
      <c r="A25" s="38">
        <f>2</f>
        <v>2</v>
      </c>
      <c r="B25" s="38" t="str">
        <f>$B$6</f>
        <v>BARRA1_400V</v>
      </c>
      <c r="C25" s="38">
        <f>INDEX($M$14:$R$19,2,2)</f>
        <v>7.9924793150107396</v>
      </c>
      <c r="D25" s="38">
        <f>INDEX($M$14:$R$19,5,2)</f>
        <v>0.55620859149986668</v>
      </c>
      <c r="E25" s="38">
        <f>SQRT(C25^2+D25^2)</f>
        <v>8.0118096331685766</v>
      </c>
      <c r="F25" s="38">
        <f>IFERROR(ABS(D25/C25),999)</f>
        <v>6.9591495902309924E-2</v>
      </c>
      <c r="G25" t="str">
        <f>"R=INDEX(M1^-1,2,2); X=INDEX(M1^-1,5,2)"</f>
        <v>R=INDEX(M1^-1,2,2); X=INDEX(M1^-1,5,2)</v>
      </c>
    </row>
    <row r="26" spans="1:18" x14ac:dyDescent="0.3">
      <c r="A26" s="38">
        <f>3</f>
        <v>3</v>
      </c>
      <c r="B26" s="38" t="str">
        <f>$B$7</f>
        <v>BARRA2_400V</v>
      </c>
      <c r="C26" s="38">
        <f>INDEX($M$14:$R$19,3,3)</f>
        <v>6.9021361546420232</v>
      </c>
      <c r="D26" s="38">
        <f>INDEX($M$14:$R$19,6,3)</f>
        <v>2.7912336310808117</v>
      </c>
      <c r="E26" s="38">
        <f>SQRT(C26^2+D26^2)</f>
        <v>7.445164113738068</v>
      </c>
      <c r="F26" s="38">
        <f>IFERROR(ABS(D26/C26),999)</f>
        <v>0.4044014155246084</v>
      </c>
      <c r="G26" t="str">
        <f>"R=INDEX(M1^-1,3,3); X=INDEX(M1^-1,6,3)"</f>
        <v>R=INDEX(M1^-1,3,3); X=INDEX(M1^-1,6,3)</v>
      </c>
    </row>
    <row r="29" spans="1:18" ht="18" x14ac:dyDescent="0.35">
      <c r="A29" s="57" t="s">
        <v>314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</row>
    <row r="31" spans="1:18" x14ac:dyDescent="0.3">
      <c r="E31" s="67" t="s">
        <v>315</v>
      </c>
      <c r="F31" s="67"/>
      <c r="G31" s="67"/>
      <c r="I31" s="67" t="s">
        <v>316</v>
      </c>
      <c r="J31" s="67"/>
      <c r="K31" s="67"/>
      <c r="M31" s="67" t="s">
        <v>317</v>
      </c>
      <c r="N31" s="67"/>
      <c r="O31" s="67"/>
      <c r="P31" s="67"/>
      <c r="Q31" s="67"/>
      <c r="R31" s="67"/>
    </row>
    <row r="32" spans="1:18" x14ac:dyDescent="0.3">
      <c r="E32" s="37" t="str">
        <f>$B$5</f>
        <v>BUS_22KV</v>
      </c>
      <c r="F32" s="37" t="str">
        <f>$B$6</f>
        <v>BARRA1_400V</v>
      </c>
      <c r="G32" s="37" t="str">
        <f>$B$7</f>
        <v>BARRA2_400V</v>
      </c>
      <c r="I32" s="37" t="str">
        <f>$B$5</f>
        <v>BUS_22KV</v>
      </c>
      <c r="J32" s="37" t="str">
        <f>$B$6</f>
        <v>BARRA1_400V</v>
      </c>
      <c r="K32" s="37" t="str">
        <f>$B$7</f>
        <v>BARRA2_400V</v>
      </c>
    </row>
    <row r="33" spans="4:18" x14ac:dyDescent="0.3">
      <c r="D33" s="37" t="str">
        <f>$B5</f>
        <v>BUS_22KV</v>
      </c>
      <c r="E33" s="38">
        <f>IF(OR($D33="",E$32=""),0,IF($D33=E$32,SUMPRODUCT((Fuentes!$H$5:$H$19="Sí")*(Fuentes!$B$5:$B$19=$D33)*(Fuentes!$F$5:$F$19)/((Fuentes!$F$5:$F$19)^2+(Fuentes!$G$5:$G$19)^2+1E-30))+SUMPRODUCT((Ramas!$I$5:$I$24="Sí")*(((Ramas!$C$5:$C$24=$D33)+(Ramas!$D$5:$D$24=$D33))&gt;0)*(Ramas!$G$5:$G$24)/((Ramas!$G$5:$G$24)^2+(Ramas!$H$5:$H$24)^2+1E-30)),-SUMPRODUCT((Ramas!$I$5:$I$24="Sí")*(((Ramas!$C$5:$C$24=$D33)*(Ramas!$D$5:$D$24=E$32))+((Ramas!$C$5:$C$24=E$32)*(Ramas!$D$5:$D$24=$D33)))*(Ramas!$G$5:$G$24)/((Ramas!$G$5:$G$24)^2+(Ramas!$H$5:$H$24)^2+1E-30))))</f>
        <v>0.24975000000000003</v>
      </c>
      <c r="F33" s="38">
        <f>IF(OR($D33="",F$32=""),0,IF($D33=F$32,SUMPRODUCT((Fuentes!$H$5:$H$19="Sí")*(Fuentes!$B$5:$B$19=$D33)*(Fuentes!$F$5:$F$19)/((Fuentes!$F$5:$F$19)^2+(Fuentes!$G$5:$G$19)^2+1E-30))+SUMPRODUCT((Ramas!$I$5:$I$24="Sí")*(((Ramas!$C$5:$C$24=$D33)+(Ramas!$D$5:$D$24=$D33))&gt;0)*(Ramas!$G$5:$G$24)/((Ramas!$G$5:$G$24)^2+(Ramas!$H$5:$H$24)^2+1E-30)),-SUMPRODUCT((Ramas!$I$5:$I$24="Sí")*(((Ramas!$C$5:$C$24=$D33)*(Ramas!$D$5:$D$24=F$32))+((Ramas!$C$5:$C$24=F$32)*(Ramas!$D$5:$D$24=$D33)))*(Ramas!$G$5:$G$24)/((Ramas!$G$5:$G$24)^2+(Ramas!$H$5:$H$24)^2+1E-30))))</f>
        <v>-0.12487500000000001</v>
      </c>
      <c r="G33" s="38">
        <f>IF(OR($D33="",G$32=""),0,IF($D33=G$32,SUMPRODUCT((Fuentes!$H$5:$H$19="Sí")*(Fuentes!$B$5:$B$19=$D33)*(Fuentes!$F$5:$F$19)/((Fuentes!$F$5:$F$19)^2+(Fuentes!$G$5:$G$19)^2+1E-30))+SUMPRODUCT((Ramas!$I$5:$I$24="Sí")*(((Ramas!$C$5:$C$24=$D33)+(Ramas!$D$5:$D$24=$D33))&gt;0)*(Ramas!$G$5:$G$24)/((Ramas!$G$5:$G$24)^2+(Ramas!$H$5:$H$24)^2+1E-30)),-SUMPRODUCT((Ramas!$I$5:$I$24="Sí")*(((Ramas!$C$5:$C$24=$D33)*(Ramas!$D$5:$D$24=G$32))+((Ramas!$C$5:$C$24=G$32)*(Ramas!$D$5:$D$24=$D33)))*(Ramas!$G$5:$G$24)/((Ramas!$G$5:$G$24)^2+(Ramas!$H$5:$H$24)^2+1E-30))))</f>
        <v>-0.12487500000000001</v>
      </c>
      <c r="H33" s="37" t="str">
        <f>$B5</f>
        <v>BUS_22KV</v>
      </c>
      <c r="I33" s="38">
        <f>IF(OR($H33="",I$32=""),0,IF($H33=I$32,SUMPRODUCT((Fuentes!$H$5:$H$19="Sí")*(Fuentes!$B$5:$B$19=$H33)*(-Fuentes!$G$5:$G$19)/((Fuentes!$F$5:$F$19)^2+(Fuentes!$G$5:$G$19)^2+1E-30))+SUMPRODUCT((Ramas!$I$5:$I$24="Sí")*(((Ramas!$C$5:$C$24=$H33)+(Ramas!$D$5:$D$24=$H33))&gt;0)*(-Ramas!$H$5:$H$24)/((Ramas!$G$5:$G$24)^2+(Ramas!$H$5:$H$24)^2+1E-30)),SUMPRODUCT((Ramas!$I$5:$I$24="Sí")*(((Ramas!$C$5:$C$24=$H33)*(Ramas!$D$5:$D$24=I$32))+((Ramas!$C$5:$C$24=I$32)*(Ramas!$D$5:$D$24=$H33)))*(Ramas!$H$5:$H$24)/((Ramas!$G$5:$G$24)^2+(Ramas!$H$5:$H$24)^2+1E-30))))</f>
        <v>-5.0111775444530524</v>
      </c>
      <c r="J33" s="38">
        <f>IF(OR($H33="",J$32=""),0,IF($H33=J$32,SUMPRODUCT((Fuentes!$H$5:$H$19="Sí")*(Fuentes!$B$5:$B$19=$H33)*(-Fuentes!$G$5:$G$19)/((Fuentes!$F$5:$F$19)^2+(Fuentes!$G$5:$G$19)^2+1E-30))+SUMPRODUCT((Ramas!$I$5:$I$24="Sí")*(((Ramas!$C$5:$C$24=$H33)+(Ramas!$D$5:$D$24=$H33))&gt;0)*(-Ramas!$H$5:$H$24)/((Ramas!$G$5:$G$24)^2+(Ramas!$H$5:$H$24)^2+1E-30)),SUMPRODUCT((Ramas!$I$5:$I$24="Sí")*(((Ramas!$C$5:$C$24=$H33)*(Ramas!$D$5:$D$24=J$32))+((Ramas!$C$5:$C$24=J$32)*(Ramas!$D$5:$D$24=$H33)))*(Ramas!$H$5:$H$24)/((Ramas!$G$5:$G$24)^2+(Ramas!$H$5:$H$24)^2+1E-30))))</f>
        <v>5.5887722265266912E-3</v>
      </c>
      <c r="K33" s="38">
        <f>IF(OR($H33="",K$32=""),0,IF($H33=K$32,SUMPRODUCT((Fuentes!$H$5:$H$19="Sí")*(Fuentes!$B$5:$B$19=$H33)*(-Fuentes!$G$5:$G$19)/((Fuentes!$F$5:$F$19)^2+(Fuentes!$G$5:$G$19)^2+1E-30))+SUMPRODUCT((Ramas!$I$5:$I$24="Sí")*(((Ramas!$C$5:$C$24=$H33)+(Ramas!$D$5:$D$24=$H33))&gt;0)*(-Ramas!$H$5:$H$24)/((Ramas!$G$5:$G$24)^2+(Ramas!$H$5:$H$24)^2+1E-30)),SUMPRODUCT((Ramas!$I$5:$I$24="Sí")*(((Ramas!$C$5:$C$24=$H33)*(Ramas!$D$5:$D$24=K$32))+((Ramas!$C$5:$C$24=K$32)*(Ramas!$D$5:$D$24=$H33)))*(Ramas!$H$5:$H$24)/((Ramas!$G$5:$G$24)^2+(Ramas!$H$5:$H$24)^2+1E-30))))</f>
        <v>5.5887722265266912E-3</v>
      </c>
      <c r="M33" s="38">
        <f t="shared" ref="M33:R38" si="2">IF(AND(ROW()-ROW($M$33)+1&lt;=3,COLUMN()-COLUMN($M$33)+1&lt;=3),INDEX($E$33:$G$35,ROW()-ROW($M$33)+1,COLUMN()-COLUMN($M$33)+1),IF(AND(ROW()-ROW($M$33)+1&lt;=3,COLUMN()-COLUMN($M$33)+1&gt;3),-INDEX($I$33:$K$35,ROW()-ROW($M$33)+1,COLUMN()-COLUMN($M$33)+1-3),IF(AND(ROW()-ROW($M$33)+1&gt;3,COLUMN()-COLUMN($M$33)+1&lt;=3),INDEX($I$33:$K$35,ROW()-ROW($M$33)+1-3,COLUMN()-COLUMN($M$33)+1),INDEX($E$33:$G$35,ROW()-ROW($M$33)+1-3,COLUMN()-COLUMN($M$33)+1-3))))</f>
        <v>0.24975000000000003</v>
      </c>
      <c r="N33" s="38">
        <f t="shared" si="2"/>
        <v>-0.12487500000000001</v>
      </c>
      <c r="O33" s="38">
        <f t="shared" si="2"/>
        <v>-0.12487500000000001</v>
      </c>
      <c r="P33" s="38">
        <f t="shared" si="2"/>
        <v>5.0111775444530524</v>
      </c>
      <c r="Q33" s="38">
        <f t="shared" si="2"/>
        <v>-5.5887722265266912E-3</v>
      </c>
      <c r="R33" s="38">
        <f t="shared" si="2"/>
        <v>-5.5887722265266912E-3</v>
      </c>
    </row>
    <row r="34" spans="4:18" x14ac:dyDescent="0.3">
      <c r="D34" s="37" t="str">
        <f>$B6</f>
        <v>BARRA1_400V</v>
      </c>
      <c r="E34" s="38">
        <f>IF(OR($D34="",E$32=""),0,IF($D34=E$32,SUMPRODUCT((Fuentes!$H$5:$H$19="Sí")*(Fuentes!$B$5:$B$19=$D34)*(Fuentes!$F$5:$F$19)/((Fuentes!$F$5:$F$19)^2+(Fuentes!$G$5:$G$19)^2+1E-30))+SUMPRODUCT((Ramas!$I$5:$I$24="Sí")*(((Ramas!$C$5:$C$24=$D34)+(Ramas!$D$5:$D$24=$D34))&gt;0)*(Ramas!$G$5:$G$24)/((Ramas!$G$5:$G$24)^2+(Ramas!$H$5:$H$24)^2+1E-30)),-SUMPRODUCT((Ramas!$I$5:$I$24="Sí")*(((Ramas!$C$5:$C$24=$D34)*(Ramas!$D$5:$D$24=E$32))+((Ramas!$C$5:$C$24=E$32)*(Ramas!$D$5:$D$24=$D34)))*(Ramas!$G$5:$G$24)/((Ramas!$G$5:$G$24)^2+(Ramas!$H$5:$H$24)^2+1E-30))))</f>
        <v>-0.12487500000000001</v>
      </c>
      <c r="F34" s="38">
        <f>IF(OR($D34="",F$32=""),0,IF($D34=F$32,SUMPRODUCT((Fuentes!$H$5:$H$19="Sí")*(Fuentes!$B$5:$B$19=$D34)*(Fuentes!$F$5:$F$19)/((Fuentes!$F$5:$F$19)^2+(Fuentes!$G$5:$G$19)^2+1E-30))+SUMPRODUCT((Ramas!$I$5:$I$24="Sí")*(((Ramas!$C$5:$C$24=$D34)+(Ramas!$D$5:$D$24=$D34))&gt;0)*(Ramas!$G$5:$G$24)/((Ramas!$G$5:$G$24)^2+(Ramas!$H$5:$H$24)^2+1E-30)),-SUMPRODUCT((Ramas!$I$5:$I$24="Sí")*(((Ramas!$C$5:$C$24=$D34)*(Ramas!$D$5:$D$24=F$32))+((Ramas!$C$5:$C$24=F$32)*(Ramas!$D$5:$D$24=$D34)))*(Ramas!$G$5:$G$24)/((Ramas!$G$5:$G$24)^2+(Ramas!$H$5:$H$24)^2+1E-30))))</f>
        <v>0.12487500000000001</v>
      </c>
      <c r="G34" s="38">
        <f>IF(OR($D34="",G$32=""),0,IF($D34=G$32,SUMPRODUCT((Fuentes!$H$5:$H$19="Sí")*(Fuentes!$B$5:$B$19=$D34)*(Fuentes!$F$5:$F$19)/((Fuentes!$F$5:$F$19)^2+(Fuentes!$G$5:$G$19)^2+1E-30))+SUMPRODUCT((Ramas!$I$5:$I$24="Sí")*(((Ramas!$C$5:$C$24=$D34)+(Ramas!$D$5:$D$24=$D34))&gt;0)*(Ramas!$G$5:$G$24)/((Ramas!$G$5:$G$24)^2+(Ramas!$H$5:$H$24)^2+1E-30)),-SUMPRODUCT((Ramas!$I$5:$I$24="Sí")*(((Ramas!$C$5:$C$24=$D34)*(Ramas!$D$5:$D$24=G$32))+((Ramas!$C$5:$C$24=G$32)*(Ramas!$D$5:$D$24=$D34)))*(Ramas!$G$5:$G$24)/((Ramas!$G$5:$G$24)^2+(Ramas!$H$5:$H$24)^2+1E-30))))</f>
        <v>0</v>
      </c>
      <c r="H34" s="37" t="str">
        <f>$B6</f>
        <v>BARRA1_400V</v>
      </c>
      <c r="I34" s="38">
        <f>IF(OR($H34="",I$32=""),0,IF($H34=I$32,SUMPRODUCT((Fuentes!$H$5:$H$19="Sí")*(Fuentes!$B$5:$B$19=$H34)*(-Fuentes!$G$5:$G$19)/((Fuentes!$F$5:$F$19)^2+(Fuentes!$G$5:$G$19)^2+1E-30))+SUMPRODUCT((Ramas!$I$5:$I$24="Sí")*(((Ramas!$C$5:$C$24=$H34)+(Ramas!$D$5:$D$24=$H34))&gt;0)*(-Ramas!$H$5:$H$24)/((Ramas!$G$5:$G$24)^2+(Ramas!$H$5:$H$24)^2+1E-30)),SUMPRODUCT((Ramas!$I$5:$I$24="Sí")*(((Ramas!$C$5:$C$24=$H34)*(Ramas!$D$5:$D$24=I$32))+((Ramas!$C$5:$C$24=I$32)*(Ramas!$D$5:$D$24=$H34)))*(Ramas!$H$5:$H$24)/((Ramas!$G$5:$G$24)^2+(Ramas!$H$5:$H$24)^2+1E-30))))</f>
        <v>5.5887722265266912E-3</v>
      </c>
      <c r="J34" s="38">
        <f>IF(OR($H34="",J$32=""),0,IF($H34=J$32,SUMPRODUCT((Fuentes!$H$5:$H$19="Sí")*(Fuentes!$B$5:$B$19=$H34)*(-Fuentes!$G$5:$G$19)/((Fuentes!$F$5:$F$19)^2+(Fuentes!$G$5:$G$19)^2+1E-30))+SUMPRODUCT((Ramas!$I$5:$I$24="Sí")*(((Ramas!$C$5:$C$24=$H34)+(Ramas!$D$5:$D$24=$H34))&gt;0)*(-Ramas!$H$5:$H$24)/((Ramas!$G$5:$G$24)^2+(Ramas!$H$5:$H$24)^2+1E-30)),SUMPRODUCT((Ramas!$I$5:$I$24="Sí")*(((Ramas!$C$5:$C$24=$H34)*(Ramas!$D$5:$D$24=J$32))+((Ramas!$C$5:$C$24=J$32)*(Ramas!$D$5:$D$24=$H34)))*(Ramas!$H$5:$H$24)/((Ramas!$G$5:$G$24)^2+(Ramas!$H$5:$H$24)^2+1E-30))))</f>
        <v>-5.5887722265266912E-3</v>
      </c>
      <c r="K34" s="38">
        <f>IF(OR($H34="",K$32=""),0,IF($H34=K$32,SUMPRODUCT((Fuentes!$H$5:$H$19="Sí")*(Fuentes!$B$5:$B$19=$H34)*(-Fuentes!$G$5:$G$19)/((Fuentes!$F$5:$F$19)^2+(Fuentes!$G$5:$G$19)^2+1E-30))+SUMPRODUCT((Ramas!$I$5:$I$24="Sí")*(((Ramas!$C$5:$C$24=$H34)+(Ramas!$D$5:$D$24=$H34))&gt;0)*(-Ramas!$H$5:$H$24)/((Ramas!$G$5:$G$24)^2+(Ramas!$H$5:$H$24)^2+1E-30)),SUMPRODUCT((Ramas!$I$5:$I$24="Sí")*(((Ramas!$C$5:$C$24=$H34)*(Ramas!$D$5:$D$24=K$32))+((Ramas!$C$5:$C$24=K$32)*(Ramas!$D$5:$D$24=$H34)))*(Ramas!$H$5:$H$24)/((Ramas!$G$5:$G$24)^2+(Ramas!$H$5:$H$24)^2+1E-30))))</f>
        <v>0</v>
      </c>
      <c r="M34" s="38">
        <f t="shared" si="2"/>
        <v>-0.12487500000000001</v>
      </c>
      <c r="N34" s="38">
        <f t="shared" si="2"/>
        <v>0.12487500000000001</v>
      </c>
      <c r="O34" s="38">
        <f t="shared" si="2"/>
        <v>0</v>
      </c>
      <c r="P34" s="38">
        <f t="shared" si="2"/>
        <v>-5.5887722265266912E-3</v>
      </c>
      <c r="Q34" s="38">
        <f t="shared" si="2"/>
        <v>5.5887722265266912E-3</v>
      </c>
      <c r="R34" s="38">
        <f t="shared" si="2"/>
        <v>0</v>
      </c>
    </row>
    <row r="35" spans="4:18" x14ac:dyDescent="0.3">
      <c r="D35" s="37" t="str">
        <f>$B7</f>
        <v>BARRA2_400V</v>
      </c>
      <c r="E35" s="38">
        <f>IF(OR($D35="",E$32=""),0,IF($D35=E$32,SUMPRODUCT((Fuentes!$H$5:$H$19="Sí")*(Fuentes!$B$5:$B$19=$D35)*(Fuentes!$F$5:$F$19)/((Fuentes!$F$5:$F$19)^2+(Fuentes!$G$5:$G$19)^2+1E-30))+SUMPRODUCT((Ramas!$I$5:$I$24="Sí")*(((Ramas!$C$5:$C$24=$D35)+(Ramas!$D$5:$D$24=$D35))&gt;0)*(Ramas!$G$5:$G$24)/((Ramas!$G$5:$G$24)^2+(Ramas!$H$5:$H$24)^2+1E-30)),-SUMPRODUCT((Ramas!$I$5:$I$24="Sí")*(((Ramas!$C$5:$C$24=$D35)*(Ramas!$D$5:$D$24=E$32))+((Ramas!$C$5:$C$24=E$32)*(Ramas!$D$5:$D$24=$D35)))*(Ramas!$G$5:$G$24)/((Ramas!$G$5:$G$24)^2+(Ramas!$H$5:$H$24)^2+1E-30))))</f>
        <v>-0.12487500000000001</v>
      </c>
      <c r="F35" s="38">
        <f>IF(OR($D35="",F$32=""),0,IF($D35=F$32,SUMPRODUCT((Fuentes!$H$5:$H$19="Sí")*(Fuentes!$B$5:$B$19=$D35)*(Fuentes!$F$5:$F$19)/((Fuentes!$F$5:$F$19)^2+(Fuentes!$G$5:$G$19)^2+1E-30))+SUMPRODUCT((Ramas!$I$5:$I$24="Sí")*(((Ramas!$C$5:$C$24=$D35)+(Ramas!$D$5:$D$24=$D35))&gt;0)*(Ramas!$G$5:$G$24)/((Ramas!$G$5:$G$24)^2+(Ramas!$H$5:$H$24)^2+1E-30)),-SUMPRODUCT((Ramas!$I$5:$I$24="Sí")*(((Ramas!$C$5:$C$24=$D35)*(Ramas!$D$5:$D$24=F$32))+((Ramas!$C$5:$C$24=F$32)*(Ramas!$D$5:$D$24=$D35)))*(Ramas!$G$5:$G$24)/((Ramas!$G$5:$G$24)^2+(Ramas!$H$5:$H$24)^2+1E-30))))</f>
        <v>0</v>
      </c>
      <c r="G35" s="38">
        <f>IF(OR($D35="",G$32=""),0,IF($D35=G$32,SUMPRODUCT((Fuentes!$H$5:$H$19="Sí")*(Fuentes!$B$5:$B$19=$D35)*(Fuentes!$F$5:$F$19)/((Fuentes!$F$5:$F$19)^2+(Fuentes!$G$5:$G$19)^2+1E-30))+SUMPRODUCT((Ramas!$I$5:$I$24="Sí")*(((Ramas!$C$5:$C$24=$D35)+(Ramas!$D$5:$D$24=$D35))&gt;0)*(Ramas!$G$5:$G$24)/((Ramas!$G$5:$G$24)^2+(Ramas!$H$5:$H$24)^2+1E-30)),-SUMPRODUCT((Ramas!$I$5:$I$24="Sí")*(((Ramas!$C$5:$C$24=$D35)*(Ramas!$D$5:$D$24=G$32))+((Ramas!$C$5:$C$24=G$32)*(Ramas!$D$5:$D$24=$D35)))*(Ramas!$G$5:$G$24)/((Ramas!$G$5:$G$24)^2+(Ramas!$H$5:$H$24)^2+1E-30))))</f>
        <v>0.12487500000000001</v>
      </c>
      <c r="H35" s="37" t="str">
        <f>$B7</f>
        <v>BARRA2_400V</v>
      </c>
      <c r="I35" s="38">
        <f>IF(OR($H35="",I$32=""),0,IF($H35=I$32,SUMPRODUCT((Fuentes!$H$5:$H$19="Sí")*(Fuentes!$B$5:$B$19=$H35)*(-Fuentes!$G$5:$G$19)/((Fuentes!$F$5:$F$19)^2+(Fuentes!$G$5:$G$19)^2+1E-30))+SUMPRODUCT((Ramas!$I$5:$I$24="Sí")*(((Ramas!$C$5:$C$24=$H35)+(Ramas!$D$5:$D$24=$H35))&gt;0)*(-Ramas!$H$5:$H$24)/((Ramas!$G$5:$G$24)^2+(Ramas!$H$5:$H$24)^2+1E-30)),SUMPRODUCT((Ramas!$I$5:$I$24="Sí")*(((Ramas!$C$5:$C$24=$H35)*(Ramas!$D$5:$D$24=I$32))+((Ramas!$C$5:$C$24=I$32)*(Ramas!$D$5:$D$24=$H35)))*(Ramas!$H$5:$H$24)/((Ramas!$G$5:$G$24)^2+(Ramas!$H$5:$H$24)^2+1E-30))))</f>
        <v>5.5887722265266912E-3</v>
      </c>
      <c r="J35" s="38">
        <f>IF(OR($H35="",J$32=""),0,IF($H35=J$32,SUMPRODUCT((Fuentes!$H$5:$H$19="Sí")*(Fuentes!$B$5:$B$19=$H35)*(-Fuentes!$G$5:$G$19)/((Fuentes!$F$5:$F$19)^2+(Fuentes!$G$5:$G$19)^2+1E-30))+SUMPRODUCT((Ramas!$I$5:$I$24="Sí")*(((Ramas!$C$5:$C$24=$H35)+(Ramas!$D$5:$D$24=$H35))&gt;0)*(-Ramas!$H$5:$H$24)/((Ramas!$G$5:$G$24)^2+(Ramas!$H$5:$H$24)^2+1E-30)),SUMPRODUCT((Ramas!$I$5:$I$24="Sí")*(((Ramas!$C$5:$C$24=$H35)*(Ramas!$D$5:$D$24=J$32))+((Ramas!$C$5:$C$24=J$32)*(Ramas!$D$5:$D$24=$H35)))*(Ramas!$H$5:$H$24)/((Ramas!$G$5:$G$24)^2+(Ramas!$H$5:$H$24)^2+1E-30))))</f>
        <v>0</v>
      </c>
      <c r="K35" s="38">
        <f>IF(OR($H35="",K$32=""),0,IF($H35=K$32,SUMPRODUCT((Fuentes!$H$5:$H$19="Sí")*(Fuentes!$B$5:$B$19=$H35)*(-Fuentes!$G$5:$G$19)/((Fuentes!$F$5:$F$19)^2+(Fuentes!$G$5:$G$19)^2+1E-30))+SUMPRODUCT((Ramas!$I$5:$I$24="Sí")*(((Ramas!$C$5:$C$24=$H35)+(Ramas!$D$5:$D$24=$H35))&gt;0)*(-Ramas!$H$5:$H$24)/((Ramas!$G$5:$G$24)^2+(Ramas!$H$5:$H$24)^2+1E-30)),SUMPRODUCT((Ramas!$I$5:$I$24="Sí")*(((Ramas!$C$5:$C$24=$H35)*(Ramas!$D$5:$D$24=K$32))+((Ramas!$C$5:$C$24=K$32)*(Ramas!$D$5:$D$24=$H35)))*(Ramas!$H$5:$H$24)/((Ramas!$G$5:$G$24)^2+(Ramas!$H$5:$H$24)^2+1E-30))))</f>
        <v>-4.7255438893193356E-2</v>
      </c>
      <c r="M35" s="38">
        <f t="shared" si="2"/>
        <v>-0.12487500000000001</v>
      </c>
      <c r="N35" s="38">
        <f t="shared" si="2"/>
        <v>0</v>
      </c>
      <c r="O35" s="38">
        <f t="shared" si="2"/>
        <v>0.12487500000000001</v>
      </c>
      <c r="P35" s="38">
        <f t="shared" si="2"/>
        <v>-5.5887722265266912E-3</v>
      </c>
      <c r="Q35" s="38">
        <f t="shared" si="2"/>
        <v>0</v>
      </c>
      <c r="R35" s="38">
        <f t="shared" si="2"/>
        <v>4.7255438893193356E-2</v>
      </c>
    </row>
    <row r="36" spans="4:18" x14ac:dyDescent="0.3">
      <c r="M36" s="38">
        <f t="shared" si="2"/>
        <v>-5.0111775444530524</v>
      </c>
      <c r="N36" s="38">
        <f t="shared" si="2"/>
        <v>5.5887722265266912E-3</v>
      </c>
      <c r="O36" s="38">
        <f t="shared" si="2"/>
        <v>5.5887722265266912E-3</v>
      </c>
      <c r="P36" s="38">
        <f t="shared" si="2"/>
        <v>0.24975000000000003</v>
      </c>
      <c r="Q36" s="38">
        <f t="shared" si="2"/>
        <v>-0.12487500000000001</v>
      </c>
      <c r="R36" s="38">
        <f t="shared" si="2"/>
        <v>-0.12487500000000001</v>
      </c>
    </row>
    <row r="37" spans="4:18" x14ac:dyDescent="0.3">
      <c r="M37" s="38">
        <f t="shared" si="2"/>
        <v>5.5887722265266912E-3</v>
      </c>
      <c r="N37" s="38">
        <f t="shared" si="2"/>
        <v>-5.5887722265266912E-3</v>
      </c>
      <c r="O37" s="38">
        <f t="shared" si="2"/>
        <v>0</v>
      </c>
      <c r="P37" s="38">
        <f t="shared" si="2"/>
        <v>-0.12487500000000001</v>
      </c>
      <c r="Q37" s="38">
        <f t="shared" si="2"/>
        <v>0.12487500000000001</v>
      </c>
      <c r="R37" s="38">
        <f t="shared" si="2"/>
        <v>0</v>
      </c>
    </row>
    <row r="38" spans="4:18" x14ac:dyDescent="0.3">
      <c r="M38" s="38">
        <f t="shared" si="2"/>
        <v>5.5887722265266912E-3</v>
      </c>
      <c r="N38" s="38">
        <f t="shared" si="2"/>
        <v>0</v>
      </c>
      <c r="O38" s="38">
        <f t="shared" si="2"/>
        <v>-4.7255438893193356E-2</v>
      </c>
      <c r="P38" s="38">
        <f t="shared" si="2"/>
        <v>-0.12487500000000001</v>
      </c>
      <c r="Q38" s="38">
        <f t="shared" si="2"/>
        <v>0</v>
      </c>
      <c r="R38" s="38">
        <f t="shared" si="2"/>
        <v>0.12487500000000001</v>
      </c>
    </row>
    <row r="41" spans="4:18" x14ac:dyDescent="0.3">
      <c r="M41" s="67" t="s">
        <v>318</v>
      </c>
      <c r="N41" s="67"/>
      <c r="O41" s="67"/>
      <c r="P41" s="67"/>
      <c r="Q41" s="67"/>
      <c r="R41" s="67"/>
    </row>
    <row r="42" spans="4:18" x14ac:dyDescent="0.3">
      <c r="M42" s="38">
        <f t="shared" ref="M42:R47" si="3">INDEX(MINVERSE($M$33:$R$38),ROW()-ROW($M$42)+1,COLUMN()-COLUMN($M$42)+1)</f>
        <v>4.7931501073902806E-4</v>
      </c>
      <c r="N42" s="38">
        <f t="shared" si="3"/>
        <v>4.7931501073902947E-4</v>
      </c>
      <c r="O42" s="38">
        <f t="shared" si="3"/>
        <v>-5.7517801288683557E-2</v>
      </c>
      <c r="P42" s="38">
        <f t="shared" si="3"/>
        <v>-0.19852716900215844</v>
      </c>
      <c r="Q42" s="38">
        <f t="shared" si="3"/>
        <v>-0.19852716900215842</v>
      </c>
      <c r="R42" s="38">
        <f t="shared" si="3"/>
        <v>-0.17673971974099328</v>
      </c>
    </row>
    <row r="43" spans="4:18" x14ac:dyDescent="0.3">
      <c r="M43" s="38">
        <f t="shared" si="3"/>
        <v>4.7931501073902953E-4</v>
      </c>
      <c r="N43" s="38">
        <f t="shared" si="3"/>
        <v>7.9924793150107396</v>
      </c>
      <c r="O43" s="38">
        <f t="shared" si="3"/>
        <v>-5.7517801288683557E-2</v>
      </c>
      <c r="P43" s="38">
        <f t="shared" si="3"/>
        <v>-0.19852716900215842</v>
      </c>
      <c r="Q43" s="38">
        <f t="shared" si="3"/>
        <v>-0.55620859149986646</v>
      </c>
      <c r="R43" s="38">
        <f t="shared" si="3"/>
        <v>-0.17673971974099326</v>
      </c>
    </row>
    <row r="44" spans="4:18" x14ac:dyDescent="0.3">
      <c r="M44" s="38">
        <f t="shared" si="3"/>
        <v>-5.751780128868355E-2</v>
      </c>
      <c r="N44" s="38">
        <f t="shared" si="3"/>
        <v>-5.7517801288683536E-2</v>
      </c>
      <c r="O44" s="38">
        <f t="shared" si="3"/>
        <v>6.9021361546420232</v>
      </c>
      <c r="P44" s="38">
        <f t="shared" si="3"/>
        <v>-0.17673971974099326</v>
      </c>
      <c r="Q44" s="38">
        <f t="shared" si="3"/>
        <v>-0.17673971974099326</v>
      </c>
      <c r="R44" s="38">
        <f t="shared" si="3"/>
        <v>-2.7912336310808108</v>
      </c>
    </row>
    <row r="45" spans="4:18" x14ac:dyDescent="0.3">
      <c r="M45" s="38">
        <f t="shared" si="3"/>
        <v>0.19852716900215842</v>
      </c>
      <c r="N45" s="38">
        <f t="shared" si="3"/>
        <v>0.19852716900215842</v>
      </c>
      <c r="O45" s="38">
        <f t="shared" si="3"/>
        <v>0.17673971974099326</v>
      </c>
      <c r="P45" s="38">
        <f t="shared" si="3"/>
        <v>4.7931501073903028E-4</v>
      </c>
      <c r="Q45" s="38">
        <f t="shared" si="3"/>
        <v>4.7931501073902958E-4</v>
      </c>
      <c r="R45" s="38">
        <f t="shared" si="3"/>
        <v>-5.7517801288683536E-2</v>
      </c>
    </row>
    <row r="46" spans="4:18" x14ac:dyDescent="0.3">
      <c r="M46" s="38">
        <f t="shared" si="3"/>
        <v>0.19852716900215842</v>
      </c>
      <c r="N46" s="38">
        <f t="shared" si="3"/>
        <v>0.55620859149986668</v>
      </c>
      <c r="O46" s="38">
        <f t="shared" si="3"/>
        <v>0.17673971974099328</v>
      </c>
      <c r="P46" s="38">
        <f t="shared" si="3"/>
        <v>4.7931501073903023E-4</v>
      </c>
      <c r="Q46" s="38">
        <f t="shared" si="3"/>
        <v>7.9924793150107396</v>
      </c>
      <c r="R46" s="38">
        <f t="shared" si="3"/>
        <v>-5.7517801288683529E-2</v>
      </c>
    </row>
    <row r="47" spans="4:18" x14ac:dyDescent="0.3">
      <c r="M47" s="38">
        <f t="shared" si="3"/>
        <v>0.17673971974099331</v>
      </c>
      <c r="N47" s="38">
        <f t="shared" si="3"/>
        <v>0.17673971974099328</v>
      </c>
      <c r="O47" s="38">
        <f t="shared" si="3"/>
        <v>2.7912336310808117</v>
      </c>
      <c r="P47" s="38">
        <f t="shared" si="3"/>
        <v>-5.7517801288683543E-2</v>
      </c>
      <c r="Q47" s="38">
        <f t="shared" si="3"/>
        <v>-5.7517801288683543E-2</v>
      </c>
      <c r="R47" s="38">
        <f t="shared" si="3"/>
        <v>6.9021361546420232</v>
      </c>
    </row>
    <row r="50" spans="1:7" x14ac:dyDescent="0.3">
      <c r="A50" s="68" t="s">
        <v>319</v>
      </c>
      <c r="B50" s="68"/>
      <c r="C50" s="68"/>
      <c r="D50" s="68"/>
      <c r="E50" s="68"/>
      <c r="F50" s="68"/>
      <c r="G50" s="68"/>
    </row>
    <row r="51" spans="1:7" x14ac:dyDescent="0.3">
      <c r="A51" s="35" t="s">
        <v>307</v>
      </c>
      <c r="B51" s="35" t="s">
        <v>165</v>
      </c>
      <c r="C51" s="35" t="s">
        <v>320</v>
      </c>
      <c r="D51" s="35" t="s">
        <v>321</v>
      </c>
      <c r="E51" s="35" t="s">
        <v>322</v>
      </c>
      <c r="F51" s="35" t="s">
        <v>323</v>
      </c>
      <c r="G51" s="35" t="s">
        <v>313</v>
      </c>
    </row>
    <row r="52" spans="1:7" x14ac:dyDescent="0.3">
      <c r="A52" s="38">
        <f>1</f>
        <v>1</v>
      </c>
      <c r="B52" s="38" t="str">
        <f>$B$5</f>
        <v>BUS_22KV</v>
      </c>
      <c r="C52" s="38">
        <f>INDEX($M$42:$R$47,1,1)</f>
        <v>4.7931501073902806E-4</v>
      </c>
      <c r="D52" s="38">
        <f>INDEX($M$42:$R$47,4,1)</f>
        <v>0.19852716900215842</v>
      </c>
      <c r="E52" s="38">
        <f>SQRT(C52^2+D52^2)</f>
        <v>0.19852774761954836</v>
      </c>
      <c r="F52" s="38">
        <f>IFERROR(ABS(D52/C52),999)</f>
        <v>414.18934219493957</v>
      </c>
      <c r="G52" t="str">
        <f>"R=INDEX(M0^-1,1,1); X=INDEX(M0^-1,4,1)"</f>
        <v>R=INDEX(M0^-1,1,1); X=INDEX(M0^-1,4,1)</v>
      </c>
    </row>
    <row r="53" spans="1:7" x14ac:dyDescent="0.3">
      <c r="A53" s="38">
        <f>2</f>
        <v>2</v>
      </c>
      <c r="B53" s="38" t="str">
        <f>$B$6</f>
        <v>BARRA1_400V</v>
      </c>
      <c r="C53" s="38">
        <f>INDEX($M$42:$R$47,2,2)</f>
        <v>7.9924793150107396</v>
      </c>
      <c r="D53" s="38">
        <f>INDEX($M$42:$R$47,5,2)</f>
        <v>0.55620859149986668</v>
      </c>
      <c r="E53" s="38">
        <f>SQRT(C53^2+D53^2)</f>
        <v>8.0118096331685766</v>
      </c>
      <c r="F53" s="38">
        <f>IFERROR(ABS(D53/C53),999)</f>
        <v>6.9591495902309924E-2</v>
      </c>
      <c r="G53" t="str">
        <f>"R=INDEX(M0^-1,2,2); X=INDEX(M0^-1,5,2)"</f>
        <v>R=INDEX(M0^-1,2,2); X=INDEX(M0^-1,5,2)</v>
      </c>
    </row>
    <row r="54" spans="1:7" x14ac:dyDescent="0.3">
      <c r="A54" s="38">
        <f>3</f>
        <v>3</v>
      </c>
      <c r="B54" s="38" t="str">
        <f>$B$7</f>
        <v>BARRA2_400V</v>
      </c>
      <c r="C54" s="38">
        <f>INDEX($M$42:$R$47,3,3)</f>
        <v>6.9021361546420232</v>
      </c>
      <c r="D54" s="38">
        <f>INDEX($M$42:$R$47,6,3)</f>
        <v>2.7912336310808117</v>
      </c>
      <c r="E54" s="38">
        <f>SQRT(C54^2+D54^2)</f>
        <v>7.445164113738068</v>
      </c>
      <c r="F54" s="38">
        <f>IFERROR(ABS(D54/C54),999)</f>
        <v>0.4044014155246084</v>
      </c>
      <c r="G54" t="str">
        <f>"R=INDEX(M0^-1,3,3); X=INDEX(M0^-1,6,3)"</f>
        <v>R=INDEX(M0^-1,3,3); X=INDEX(M0^-1,6,3)</v>
      </c>
    </row>
  </sheetData>
  <mergeCells count="13">
    <mergeCell ref="M41:R41"/>
    <mergeCell ref="A50:G50"/>
    <mergeCell ref="M13:R13"/>
    <mergeCell ref="A22:G22"/>
    <mergeCell ref="A29:K29"/>
    <mergeCell ref="E31:G31"/>
    <mergeCell ref="I31:K31"/>
    <mergeCell ref="M31:R31"/>
    <mergeCell ref="A1:K1"/>
    <mergeCell ref="A2:K2"/>
    <mergeCell ref="E3:G3"/>
    <mergeCell ref="I3:K3"/>
    <mergeCell ref="M3:R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40"/>
  <sheetViews>
    <sheetView tabSelected="1" zoomScale="70" workbookViewId="0">
      <selection activeCell="V14" sqref="V14"/>
    </sheetView>
  </sheetViews>
  <sheetFormatPr defaultRowHeight="14.4" x14ac:dyDescent="0.3"/>
  <cols>
    <col min="1" max="1" width="7.88671875" customWidth="1"/>
    <col min="2" max="2" width="24.44140625" bestFit="1" customWidth="1"/>
    <col min="3" max="3" width="12.6640625" bestFit="1" customWidth="1"/>
    <col min="4" max="4" width="17.77734375" bestFit="1" customWidth="1"/>
    <col min="5" max="5" width="10" customWidth="1"/>
    <col min="6" max="6" width="12" customWidth="1"/>
    <col min="7" max="7" width="6.5546875" customWidth="1"/>
    <col min="8" max="8" width="3.21875" customWidth="1"/>
    <col min="9" max="9" width="10.88671875" bestFit="1" customWidth="1"/>
    <col min="10" max="10" width="12" bestFit="1" customWidth="1"/>
    <col min="11" max="11" width="7.109375" bestFit="1" customWidth="1"/>
    <col min="12" max="12" width="11" customWidth="1"/>
    <col min="13" max="14" width="11.44140625" customWidth="1"/>
    <col min="15" max="15" width="7.88671875" customWidth="1"/>
    <col min="16" max="16" width="8.88671875" customWidth="1"/>
    <col min="17" max="17" width="7.44140625" customWidth="1"/>
    <col min="18" max="18" width="10.33203125" customWidth="1"/>
    <col min="19" max="19" width="7.88671875" customWidth="1"/>
    <col min="20" max="20" width="36" customWidth="1"/>
  </cols>
  <sheetData>
    <row r="1" spans="1:26" ht="22.35" customHeight="1" x14ac:dyDescent="0.3">
      <c r="A1" s="69" t="s">
        <v>324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Z1">
        <v>20</v>
      </c>
    </row>
    <row r="2" spans="1:26" ht="28.8" customHeight="1" x14ac:dyDescent="0.3">
      <c r="A2" s="70" t="s">
        <v>325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Z2">
        <f>Parámetros!$C$4</f>
        <v>100</v>
      </c>
    </row>
    <row r="4" spans="1:26" x14ac:dyDescent="0.3">
      <c r="A4" s="71" t="s">
        <v>326</v>
      </c>
      <c r="B4" s="71"/>
      <c r="C4" s="71"/>
      <c r="D4" s="71"/>
      <c r="F4" s="71" t="s">
        <v>327</v>
      </c>
      <c r="G4" s="71"/>
      <c r="H4" s="71"/>
      <c r="I4" s="71"/>
      <c r="J4" s="71"/>
      <c r="L4" s="71" t="s">
        <v>328</v>
      </c>
      <c r="M4" s="71"/>
      <c r="N4" s="71"/>
      <c r="O4" s="71"/>
      <c r="P4" s="71"/>
      <c r="Q4" s="71"/>
      <c r="R4" s="71"/>
      <c r="S4" s="71"/>
      <c r="T4" s="71"/>
    </row>
    <row r="5" spans="1:26" ht="30.45" customHeight="1" x14ac:dyDescent="0.3">
      <c r="A5" s="74" t="s">
        <v>329</v>
      </c>
      <c r="B5" s="75"/>
      <c r="C5" s="81">
        <v>1.25</v>
      </c>
      <c r="D5" s="41" t="s">
        <v>330</v>
      </c>
      <c r="F5" s="76" t="s">
        <v>331</v>
      </c>
      <c r="G5" s="76"/>
      <c r="H5" s="76"/>
      <c r="I5" s="76"/>
      <c r="J5" s="76"/>
      <c r="L5" s="77" t="s">
        <v>332</v>
      </c>
      <c r="M5" s="77"/>
      <c r="N5" s="77"/>
      <c r="O5" s="77"/>
      <c r="P5" s="77"/>
      <c r="Q5" s="77"/>
      <c r="R5" s="77"/>
      <c r="S5" s="77"/>
      <c r="T5" s="77"/>
    </row>
    <row r="6" spans="1:26" ht="30.45" customHeight="1" x14ac:dyDescent="0.3">
      <c r="A6" s="74" t="s">
        <v>333</v>
      </c>
      <c r="B6" s="75"/>
      <c r="C6" s="81">
        <v>2</v>
      </c>
      <c r="D6" s="41" t="s">
        <v>334</v>
      </c>
      <c r="F6" s="76" t="s">
        <v>335</v>
      </c>
      <c r="G6" s="76"/>
      <c r="H6" s="76"/>
      <c r="I6" s="76"/>
      <c r="J6" s="76"/>
      <c r="L6" s="77" t="s">
        <v>336</v>
      </c>
      <c r="M6" s="77"/>
      <c r="N6" s="77"/>
      <c r="O6" s="77"/>
      <c r="P6" s="77"/>
      <c r="Q6" s="77"/>
      <c r="R6" s="77"/>
      <c r="S6" s="77"/>
      <c r="T6" s="77"/>
    </row>
    <row r="7" spans="1:26" ht="38.4" customHeight="1" x14ac:dyDescent="0.3">
      <c r="A7" s="74" t="s">
        <v>337</v>
      </c>
      <c r="B7" s="75"/>
      <c r="C7" s="81">
        <v>0</v>
      </c>
      <c r="D7" s="41" t="s">
        <v>338</v>
      </c>
      <c r="F7" s="76" t="s">
        <v>339</v>
      </c>
      <c r="G7" s="76"/>
      <c r="H7" s="76"/>
      <c r="I7" s="76"/>
      <c r="J7" s="76"/>
      <c r="L7" s="77"/>
      <c r="M7" s="77"/>
      <c r="N7" s="77"/>
      <c r="O7" s="77"/>
      <c r="P7" s="77"/>
      <c r="Q7" s="77"/>
      <c r="R7" s="77"/>
      <c r="S7" s="77"/>
      <c r="T7" s="77"/>
    </row>
    <row r="8" spans="1:26" ht="43.2" x14ac:dyDescent="0.3">
      <c r="A8" s="40" t="s">
        <v>340</v>
      </c>
      <c r="B8" s="40" t="s">
        <v>341</v>
      </c>
      <c r="C8" s="40" t="s">
        <v>342</v>
      </c>
      <c r="D8" s="40" t="s">
        <v>343</v>
      </c>
      <c r="E8" s="40" t="s">
        <v>344</v>
      </c>
      <c r="F8" s="40" t="s">
        <v>345</v>
      </c>
      <c r="G8" s="40" t="s">
        <v>346</v>
      </c>
      <c r="H8" s="40" t="s">
        <v>347</v>
      </c>
      <c r="I8" s="40" t="s">
        <v>348</v>
      </c>
      <c r="J8" s="40" t="s">
        <v>349</v>
      </c>
      <c r="K8" s="40" t="s">
        <v>350</v>
      </c>
      <c r="L8" s="40" t="s">
        <v>351</v>
      </c>
      <c r="M8" s="40" t="s">
        <v>352</v>
      </c>
      <c r="N8" s="40" t="s">
        <v>353</v>
      </c>
      <c r="O8" s="40" t="s">
        <v>354</v>
      </c>
      <c r="P8" s="40" t="s">
        <v>355</v>
      </c>
      <c r="Q8" s="40" t="s">
        <v>356</v>
      </c>
      <c r="R8" s="40" t="s">
        <v>357</v>
      </c>
      <c r="S8" s="40" t="s">
        <v>358</v>
      </c>
      <c r="T8" s="40" t="s">
        <v>301</v>
      </c>
    </row>
    <row r="9" spans="1:26" ht="28.8" x14ac:dyDescent="0.3">
      <c r="A9" s="41" t="s">
        <v>359</v>
      </c>
      <c r="B9" s="41" t="s">
        <v>360</v>
      </c>
      <c r="C9" s="41" t="s">
        <v>278</v>
      </c>
      <c r="D9" s="41" t="s">
        <v>361</v>
      </c>
      <c r="E9" s="43">
        <f>IF($C9="","",IFERROR(INDEX(Resultados!$C$5:$C$14,MATCH($C9,Resultados!$B$5:$B$14,0)),""))</f>
        <v>22</v>
      </c>
      <c r="F9" s="44">
        <v>24</v>
      </c>
      <c r="G9" s="45">
        <v>20</v>
      </c>
      <c r="H9" s="45"/>
      <c r="I9" s="46">
        <f t="shared" ref="I9:I28" si="0">IF($C9="","",IFERROR(IF($G9&gt;0,$G9*IF($H9="", $C$5, $H9),""),""))</f>
        <v>25</v>
      </c>
      <c r="J9" s="43">
        <f>IF($C9="","",IFERROR(MAX(INDEX(Resultados!$E$5:$E$14,MATCH($C9,Resultados!$B$5:$B$14,0)),INDEX(Resultados!$H$5:$H$14,MATCH($C9,Resultados!$B$5:$B$14,0)),INDEX(Resultados!$I$5:$I$14,MATCH($C9,Resultados!$B$5:$B$14,0)),INDEX(Resultados!$J$5:$J$14,MATCH($C9,Resultados!$B$5:$B$14,0))),""))</f>
        <v>13.218904847681767</v>
      </c>
      <c r="K9" s="43">
        <f>IF($C9="","",IFERROR(INDEX(Resultados!$F$5:$F$14,MATCH($C9,Resultados!$B$5:$B$14,0)),""))</f>
        <v>37.247450259358821</v>
      </c>
      <c r="L9" s="44">
        <v>13.218999999999999</v>
      </c>
      <c r="M9" s="44">
        <v>25</v>
      </c>
      <c r="N9" s="44">
        <v>63</v>
      </c>
      <c r="O9" s="42" t="str">
        <f t="shared" ref="O9:O28" si="1">IF($C9="","",IF($F9="","PEND.",IF($F9&gt;=$E9,"OK","NO")))</f>
        <v>OK</v>
      </c>
      <c r="P9" s="42" t="str">
        <f t="shared" ref="P9:P28" si="2">IF($C9="","",IF($M9="","PEND.",IF($M9&gt;=$J9*(1+$C$7),"OK","NO")))</f>
        <v>OK</v>
      </c>
      <c r="Q9" s="42" t="str">
        <f t="shared" ref="Q9:Q28" si="3">IF($C9="","",IF($N9="","PEND.",IF($N9&gt;=$K9,"OK","NO")))</f>
        <v>OK</v>
      </c>
      <c r="R9" s="47">
        <f t="shared" ref="R9:R28" si="4">IF($C9="","",IF(OR($L9="",$I9=""),"PEND.",IFERROR(($L9*1000)/$I9,"PEND.")))</f>
        <v>528.76</v>
      </c>
      <c r="S9" s="42" t="str">
        <f t="shared" ref="S9:S28" si="5">IF($C9="","",IF(OR($O9="PEND.",$P9="PEND.",$Q9="PEND.",$R9="PEND."),"PEND.",IF(AND($O9="OK",$P9="OK",$Q9="OK",$R9&gt;=$C$6),"ACEPTA","REVISAR")))</f>
        <v>ACEPTA</v>
      </c>
      <c r="T9" s="42" t="str">
        <f t="shared" ref="T9:T28" si="6">IF($C9="","",IF($S9="ACEPTA","Cumple verificación preliminar. Realizar coordinación TCC final.",IF($S9="PEND.","Completar datos de dispositivo, carga o falla mínima.","Revisar tensión, capacidad interruptiva, pico o sensibilidad.")))</f>
        <v>Cumple verificación preliminar. Realizar coordinación TCC final.</v>
      </c>
    </row>
    <row r="10" spans="1:26" ht="28.8" x14ac:dyDescent="0.3">
      <c r="A10" s="41" t="s">
        <v>362</v>
      </c>
      <c r="B10" s="41" t="s">
        <v>363</v>
      </c>
      <c r="C10" s="41" t="s">
        <v>282</v>
      </c>
      <c r="D10" s="41" t="s">
        <v>364</v>
      </c>
      <c r="E10" s="43">
        <f>IF($C10="","",IFERROR(INDEX(Resultados!$C$5:$C$14,MATCH($C10,Resultados!$B$5:$B$14,0)),""))</f>
        <v>0.4</v>
      </c>
      <c r="F10" s="44">
        <v>0.6</v>
      </c>
      <c r="G10" s="45">
        <v>721</v>
      </c>
      <c r="H10" s="45"/>
      <c r="I10" s="46">
        <f t="shared" si="0"/>
        <v>901.25</v>
      </c>
      <c r="J10" s="43">
        <f>IF($C10="","",IFERROR(MAX(INDEX(Resultados!$E$5:$E$14,MATCH($C10,Resultados!$B$5:$B$14,0)),INDEX(Resultados!$H$5:$H$14,MATCH($C10,Resultados!$B$5:$B$14,0)),INDEX(Resultados!$I$5:$I$14,MATCH($C10,Resultados!$B$5:$B$14,0)),INDEX(Resultados!$J$5:$J$14,MATCH($C10,Resultados!$B$5:$B$14,0))),""))</f>
        <v>18.015601206980083</v>
      </c>
      <c r="K10" s="43">
        <f>IF($C10="","",IFERROR(INDEX(Resultados!$F$5:$F$14,MATCH($C10,Resultados!$B$5:$B$14,0)),""))</f>
        <v>25.47790756121633</v>
      </c>
      <c r="L10" s="44">
        <v>18.015999999999998</v>
      </c>
      <c r="M10" s="44">
        <v>25</v>
      </c>
      <c r="N10" s="44">
        <v>50</v>
      </c>
      <c r="O10" s="42" t="str">
        <f t="shared" si="1"/>
        <v>OK</v>
      </c>
      <c r="P10" s="42" t="str">
        <f t="shared" si="2"/>
        <v>OK</v>
      </c>
      <c r="Q10" s="42" t="str">
        <f t="shared" si="3"/>
        <v>OK</v>
      </c>
      <c r="R10" s="47">
        <f t="shared" si="4"/>
        <v>19.990013869625521</v>
      </c>
      <c r="S10" s="42" t="str">
        <f t="shared" si="5"/>
        <v>ACEPTA</v>
      </c>
      <c r="T10" s="42" t="str">
        <f t="shared" si="6"/>
        <v>Cumple verificación preliminar. Realizar coordinación TCC final.</v>
      </c>
    </row>
    <row r="11" spans="1:26" ht="28.8" x14ac:dyDescent="0.3">
      <c r="A11" s="41" t="s">
        <v>365</v>
      </c>
      <c r="B11" s="41" t="s">
        <v>366</v>
      </c>
      <c r="C11" s="41" t="s">
        <v>271</v>
      </c>
      <c r="D11" s="41" t="s">
        <v>364</v>
      </c>
      <c r="E11" s="43">
        <f>IF($C11="","",IFERROR(INDEX(Resultados!$C$5:$C$14,MATCH($C11,Resultados!$B$5:$B$14,0)),""))</f>
        <v>0.4</v>
      </c>
      <c r="F11" s="44">
        <v>0.6</v>
      </c>
      <c r="G11" s="45">
        <v>721</v>
      </c>
      <c r="H11" s="45"/>
      <c r="I11" s="46">
        <f t="shared" si="0"/>
        <v>901.25</v>
      </c>
      <c r="J11" s="43">
        <f>IF($C11="","",IFERROR(MAX(INDEX(Resultados!$E$5:$E$14,MATCH($C11,Resultados!$B$5:$B$14,0)),INDEX(Resultados!$H$5:$H$14,MATCH($C11,Resultados!$B$5:$B$14,0)),INDEX(Resultados!$I$5:$I$14,MATCH($C11,Resultados!$B$5:$B$14,0)),INDEX(Resultados!$J$5:$J$14,MATCH($C11,Resultados!$B$5:$B$14,0))),""))</f>
        <v>19.386754286728202</v>
      </c>
      <c r="K11" s="43">
        <f>IF($C11="","",IFERROR(INDEX(Resultados!$F$5:$F$14,MATCH($C11,Resultados!$B$5:$B$14,0)),""))</f>
        <v>27.42860403779763</v>
      </c>
      <c r="L11" s="44">
        <v>19.387</v>
      </c>
      <c r="M11" s="44">
        <v>25</v>
      </c>
      <c r="N11" s="44">
        <v>50</v>
      </c>
      <c r="O11" s="42" t="str">
        <f t="shared" si="1"/>
        <v>OK</v>
      </c>
      <c r="P11" s="42" t="str">
        <f t="shared" si="2"/>
        <v>OK</v>
      </c>
      <c r="Q11" s="42" t="str">
        <f t="shared" si="3"/>
        <v>OK</v>
      </c>
      <c r="R11" s="47">
        <f t="shared" si="4"/>
        <v>21.511234396671291</v>
      </c>
      <c r="S11" s="42" t="str">
        <f t="shared" si="5"/>
        <v>ACEPTA</v>
      </c>
      <c r="T11" s="42" t="str">
        <f t="shared" si="6"/>
        <v>Cumple verificación preliminar. Realizar coordinación TCC final.</v>
      </c>
    </row>
    <row r="12" spans="1:26" x14ac:dyDescent="0.3">
      <c r="A12" s="41"/>
      <c r="B12" s="41"/>
      <c r="C12" s="41"/>
      <c r="D12" s="41"/>
      <c r="E12" s="43" t="str">
        <f>IF($C12="","",IFERROR(INDEX(Resultados!$C$5:$C$14,MATCH($C12,Resultados!$B$5:$B$14,0)),""))</f>
        <v/>
      </c>
      <c r="F12" s="44"/>
      <c r="G12" s="45"/>
      <c r="H12" s="45"/>
      <c r="I12" s="46" t="str">
        <f t="shared" si="0"/>
        <v/>
      </c>
      <c r="J12" s="43" t="str">
        <f>IF($C12="","",IFERROR(MAX(INDEX(Resultados!$E$5:$E$14,MATCH($C12,Resultados!$B$5:$B$14,0)),INDEX(Resultados!$H$5:$H$14,MATCH($C12,Resultados!$B$5:$B$14,0)),INDEX(Resultados!$I$5:$I$14,MATCH($C12,Resultados!$B$5:$B$14,0)),INDEX(Resultados!$J$5:$J$14,MATCH($C12,Resultados!$B$5:$B$14,0))),""))</f>
        <v/>
      </c>
      <c r="K12" s="43" t="str">
        <f>IF($C12="","",IFERROR(INDEX(Resultados!$F$5:$F$14,MATCH($C12,Resultados!$B$5:$B$14,0)),""))</f>
        <v/>
      </c>
      <c r="L12" s="44"/>
      <c r="M12" s="44"/>
      <c r="N12" s="44"/>
      <c r="O12" s="42" t="str">
        <f t="shared" si="1"/>
        <v/>
      </c>
      <c r="P12" s="42" t="str">
        <f t="shared" si="2"/>
        <v/>
      </c>
      <c r="Q12" s="42" t="str">
        <f t="shared" si="3"/>
        <v/>
      </c>
      <c r="R12" s="47" t="str">
        <f t="shared" si="4"/>
        <v/>
      </c>
      <c r="S12" s="42" t="str">
        <f t="shared" si="5"/>
        <v/>
      </c>
      <c r="T12" s="42" t="str">
        <f t="shared" si="6"/>
        <v/>
      </c>
    </row>
    <row r="13" spans="1:26" x14ac:dyDescent="0.3">
      <c r="A13" s="41"/>
      <c r="B13" s="41"/>
      <c r="C13" s="41"/>
      <c r="D13" s="41"/>
      <c r="E13" s="43" t="str">
        <f>IF($C13="","",IFERROR(INDEX(Resultados!$C$5:$C$14,MATCH($C13,Resultados!$B$5:$B$14,0)),""))</f>
        <v/>
      </c>
      <c r="F13" s="44"/>
      <c r="G13" s="45"/>
      <c r="H13" s="45"/>
      <c r="I13" s="46" t="str">
        <f t="shared" si="0"/>
        <v/>
      </c>
      <c r="J13" s="43" t="str">
        <f>IF($C13="","",IFERROR(MAX(INDEX(Resultados!$E$5:$E$14,MATCH($C13,Resultados!$B$5:$B$14,0)),INDEX(Resultados!$H$5:$H$14,MATCH($C13,Resultados!$B$5:$B$14,0)),INDEX(Resultados!$I$5:$I$14,MATCH($C13,Resultados!$B$5:$B$14,0)),INDEX(Resultados!$J$5:$J$14,MATCH($C13,Resultados!$B$5:$B$14,0))),""))</f>
        <v/>
      </c>
      <c r="K13" s="43" t="str">
        <f>IF($C13="","",IFERROR(INDEX(Resultados!$F$5:$F$14,MATCH($C13,Resultados!$B$5:$B$14,0)),""))</f>
        <v/>
      </c>
      <c r="L13" s="44"/>
      <c r="M13" s="44"/>
      <c r="N13" s="44"/>
      <c r="O13" s="42" t="str">
        <f t="shared" si="1"/>
        <v/>
      </c>
      <c r="P13" s="42" t="str">
        <f t="shared" si="2"/>
        <v/>
      </c>
      <c r="Q13" s="42" t="str">
        <f t="shared" si="3"/>
        <v/>
      </c>
      <c r="R13" s="47" t="str">
        <f t="shared" si="4"/>
        <v/>
      </c>
      <c r="S13" s="42" t="str">
        <f t="shared" si="5"/>
        <v/>
      </c>
      <c r="T13" s="42" t="str">
        <f t="shared" si="6"/>
        <v/>
      </c>
    </row>
    <row r="14" spans="1:26" x14ac:dyDescent="0.3">
      <c r="A14" s="41"/>
      <c r="B14" s="41"/>
      <c r="C14" s="41"/>
      <c r="D14" s="41"/>
      <c r="E14" s="43" t="str">
        <f>IF($C14="","",IFERROR(INDEX(Resultados!$C$5:$C$14,MATCH($C14,Resultados!$B$5:$B$14,0)),""))</f>
        <v/>
      </c>
      <c r="F14" s="44"/>
      <c r="G14" s="45"/>
      <c r="H14" s="45"/>
      <c r="I14" s="46" t="str">
        <f t="shared" si="0"/>
        <v/>
      </c>
      <c r="J14" s="43" t="str">
        <f>IF($C14="","",IFERROR(MAX(INDEX(Resultados!$E$5:$E$14,MATCH($C14,Resultados!$B$5:$B$14,0)),INDEX(Resultados!$H$5:$H$14,MATCH($C14,Resultados!$B$5:$B$14,0)),INDEX(Resultados!$I$5:$I$14,MATCH($C14,Resultados!$B$5:$B$14,0)),INDEX(Resultados!$J$5:$J$14,MATCH($C14,Resultados!$B$5:$B$14,0))),""))</f>
        <v/>
      </c>
      <c r="K14" s="43" t="str">
        <f>IF($C14="","",IFERROR(INDEX(Resultados!$F$5:$F$14,MATCH($C14,Resultados!$B$5:$B$14,0)),""))</f>
        <v/>
      </c>
      <c r="L14" s="44"/>
      <c r="M14" s="44"/>
      <c r="N14" s="44"/>
      <c r="O14" s="42" t="str">
        <f t="shared" si="1"/>
        <v/>
      </c>
      <c r="P14" s="42" t="str">
        <f t="shared" si="2"/>
        <v/>
      </c>
      <c r="Q14" s="42" t="str">
        <f t="shared" si="3"/>
        <v/>
      </c>
      <c r="R14" s="47" t="str">
        <f t="shared" si="4"/>
        <v/>
      </c>
      <c r="S14" s="42" t="str">
        <f t="shared" si="5"/>
        <v/>
      </c>
      <c r="T14" s="42" t="str">
        <f t="shared" si="6"/>
        <v/>
      </c>
    </row>
    <row r="15" spans="1:26" x14ac:dyDescent="0.3">
      <c r="A15" s="41"/>
      <c r="B15" s="41"/>
      <c r="C15" s="41"/>
      <c r="D15" s="41"/>
      <c r="E15" s="43" t="str">
        <f>IF($C15="","",IFERROR(INDEX(Resultados!$C$5:$C$14,MATCH($C15,Resultados!$B$5:$B$14,0)),""))</f>
        <v/>
      </c>
      <c r="F15" s="44"/>
      <c r="G15" s="45"/>
      <c r="H15" s="45"/>
      <c r="I15" s="46" t="str">
        <f t="shared" si="0"/>
        <v/>
      </c>
      <c r="J15" s="43" t="str">
        <f>IF($C15="","",IFERROR(MAX(INDEX(Resultados!$E$5:$E$14,MATCH($C15,Resultados!$B$5:$B$14,0)),INDEX(Resultados!$H$5:$H$14,MATCH($C15,Resultados!$B$5:$B$14,0)),INDEX(Resultados!$I$5:$I$14,MATCH($C15,Resultados!$B$5:$B$14,0)),INDEX(Resultados!$J$5:$J$14,MATCH($C15,Resultados!$B$5:$B$14,0))),""))</f>
        <v/>
      </c>
      <c r="K15" s="43" t="str">
        <f>IF($C15="","",IFERROR(INDEX(Resultados!$F$5:$F$14,MATCH($C15,Resultados!$B$5:$B$14,0)),""))</f>
        <v/>
      </c>
      <c r="L15" s="44"/>
      <c r="M15" s="44"/>
      <c r="N15" s="44"/>
      <c r="O15" s="42" t="str">
        <f t="shared" si="1"/>
        <v/>
      </c>
      <c r="P15" s="42" t="str">
        <f t="shared" si="2"/>
        <v/>
      </c>
      <c r="Q15" s="42" t="str">
        <f t="shared" si="3"/>
        <v/>
      </c>
      <c r="R15" s="47" t="str">
        <f t="shared" si="4"/>
        <v/>
      </c>
      <c r="S15" s="42" t="str">
        <f t="shared" si="5"/>
        <v/>
      </c>
      <c r="T15" s="42" t="str">
        <f t="shared" si="6"/>
        <v/>
      </c>
    </row>
    <row r="16" spans="1:26" x14ac:dyDescent="0.3">
      <c r="A16" s="41"/>
      <c r="B16" s="41"/>
      <c r="C16" s="41"/>
      <c r="D16" s="41"/>
      <c r="E16" s="43" t="str">
        <f>IF($C16="","",IFERROR(INDEX(Resultados!$C$5:$C$14,MATCH($C16,Resultados!$B$5:$B$14,0)),""))</f>
        <v/>
      </c>
      <c r="F16" s="44"/>
      <c r="G16" s="45"/>
      <c r="H16" s="45"/>
      <c r="I16" s="46" t="str">
        <f t="shared" si="0"/>
        <v/>
      </c>
      <c r="J16" s="43" t="str">
        <f>IF($C16="","",IFERROR(MAX(INDEX(Resultados!$E$5:$E$14,MATCH($C16,Resultados!$B$5:$B$14,0)),INDEX(Resultados!$H$5:$H$14,MATCH($C16,Resultados!$B$5:$B$14,0)),INDEX(Resultados!$I$5:$I$14,MATCH($C16,Resultados!$B$5:$B$14,0)),INDEX(Resultados!$J$5:$J$14,MATCH($C16,Resultados!$B$5:$B$14,0))),""))</f>
        <v/>
      </c>
      <c r="K16" s="43" t="str">
        <f>IF($C16="","",IFERROR(INDEX(Resultados!$F$5:$F$14,MATCH($C16,Resultados!$B$5:$B$14,0)),""))</f>
        <v/>
      </c>
      <c r="L16" s="44"/>
      <c r="M16" s="44"/>
      <c r="N16" s="44"/>
      <c r="O16" s="42" t="str">
        <f t="shared" si="1"/>
        <v/>
      </c>
      <c r="P16" s="42" t="str">
        <f t="shared" si="2"/>
        <v/>
      </c>
      <c r="Q16" s="42" t="str">
        <f t="shared" si="3"/>
        <v/>
      </c>
      <c r="R16" s="47" t="str">
        <f t="shared" si="4"/>
        <v/>
      </c>
      <c r="S16" s="42" t="str">
        <f t="shared" si="5"/>
        <v/>
      </c>
      <c r="T16" s="42" t="str">
        <f t="shared" si="6"/>
        <v/>
      </c>
    </row>
    <row r="17" spans="1:20" x14ac:dyDescent="0.3">
      <c r="A17" s="41"/>
      <c r="B17" s="41"/>
      <c r="C17" s="41"/>
      <c r="D17" s="41"/>
      <c r="E17" s="43" t="str">
        <f>IF($C17="","",IFERROR(INDEX(Resultados!$C$5:$C$14,MATCH($C17,Resultados!$B$5:$B$14,0)),""))</f>
        <v/>
      </c>
      <c r="F17" s="44"/>
      <c r="G17" s="45"/>
      <c r="H17" s="45"/>
      <c r="I17" s="46" t="str">
        <f t="shared" si="0"/>
        <v/>
      </c>
      <c r="J17" s="43" t="str">
        <f>IF($C17="","",IFERROR(MAX(INDEX(Resultados!$E$5:$E$14,MATCH($C17,Resultados!$B$5:$B$14,0)),INDEX(Resultados!$H$5:$H$14,MATCH($C17,Resultados!$B$5:$B$14,0)),INDEX(Resultados!$I$5:$I$14,MATCH($C17,Resultados!$B$5:$B$14,0)),INDEX(Resultados!$J$5:$J$14,MATCH($C17,Resultados!$B$5:$B$14,0))),""))</f>
        <v/>
      </c>
      <c r="K17" s="43" t="str">
        <f>IF($C17="","",IFERROR(INDEX(Resultados!$F$5:$F$14,MATCH($C17,Resultados!$B$5:$B$14,0)),""))</f>
        <v/>
      </c>
      <c r="L17" s="44"/>
      <c r="M17" s="44"/>
      <c r="N17" s="44"/>
      <c r="O17" s="42" t="str">
        <f t="shared" si="1"/>
        <v/>
      </c>
      <c r="P17" s="42" t="str">
        <f t="shared" si="2"/>
        <v/>
      </c>
      <c r="Q17" s="42" t="str">
        <f t="shared" si="3"/>
        <v/>
      </c>
      <c r="R17" s="47" t="str">
        <f t="shared" si="4"/>
        <v/>
      </c>
      <c r="S17" s="42" t="str">
        <f t="shared" si="5"/>
        <v/>
      </c>
      <c r="T17" s="42" t="str">
        <f t="shared" si="6"/>
        <v/>
      </c>
    </row>
    <row r="18" spans="1:20" x14ac:dyDescent="0.3">
      <c r="A18" s="41"/>
      <c r="B18" s="41"/>
      <c r="C18" s="41"/>
      <c r="D18" s="41"/>
      <c r="E18" s="43" t="str">
        <f>IF($C18="","",IFERROR(INDEX(Resultados!$C$5:$C$14,MATCH($C18,Resultados!$B$5:$B$14,0)),""))</f>
        <v/>
      </c>
      <c r="F18" s="44"/>
      <c r="G18" s="45"/>
      <c r="H18" s="45"/>
      <c r="I18" s="46" t="str">
        <f t="shared" si="0"/>
        <v/>
      </c>
      <c r="J18" s="43" t="str">
        <f>IF($C18="","",IFERROR(MAX(INDEX(Resultados!$E$5:$E$14,MATCH($C18,Resultados!$B$5:$B$14,0)),INDEX(Resultados!$H$5:$H$14,MATCH($C18,Resultados!$B$5:$B$14,0)),INDEX(Resultados!$I$5:$I$14,MATCH($C18,Resultados!$B$5:$B$14,0)),INDEX(Resultados!$J$5:$J$14,MATCH($C18,Resultados!$B$5:$B$14,0))),""))</f>
        <v/>
      </c>
      <c r="K18" s="43" t="str">
        <f>IF($C18="","",IFERROR(INDEX(Resultados!$F$5:$F$14,MATCH($C18,Resultados!$B$5:$B$14,0)),""))</f>
        <v/>
      </c>
      <c r="L18" s="44"/>
      <c r="M18" s="44"/>
      <c r="N18" s="44"/>
      <c r="O18" s="42" t="str">
        <f t="shared" si="1"/>
        <v/>
      </c>
      <c r="P18" s="42" t="str">
        <f t="shared" si="2"/>
        <v/>
      </c>
      <c r="Q18" s="42" t="str">
        <f t="shared" si="3"/>
        <v/>
      </c>
      <c r="R18" s="47" t="str">
        <f t="shared" si="4"/>
        <v/>
      </c>
      <c r="S18" s="42" t="str">
        <f t="shared" si="5"/>
        <v/>
      </c>
      <c r="T18" s="42" t="str">
        <f t="shared" si="6"/>
        <v/>
      </c>
    </row>
    <row r="19" spans="1:20" x14ac:dyDescent="0.3">
      <c r="A19" s="41"/>
      <c r="B19" s="41"/>
      <c r="C19" s="41"/>
      <c r="D19" s="41"/>
      <c r="E19" s="43" t="str">
        <f>IF($C19="","",IFERROR(INDEX(Resultados!$C$5:$C$14,MATCH($C19,Resultados!$B$5:$B$14,0)),""))</f>
        <v/>
      </c>
      <c r="F19" s="44"/>
      <c r="G19" s="45"/>
      <c r="H19" s="45"/>
      <c r="I19" s="46" t="str">
        <f t="shared" si="0"/>
        <v/>
      </c>
      <c r="J19" s="43" t="str">
        <f>IF($C19="","",IFERROR(MAX(INDEX(Resultados!$E$5:$E$14,MATCH($C19,Resultados!$B$5:$B$14,0)),INDEX(Resultados!$H$5:$H$14,MATCH($C19,Resultados!$B$5:$B$14,0)),INDEX(Resultados!$I$5:$I$14,MATCH($C19,Resultados!$B$5:$B$14,0)),INDEX(Resultados!$J$5:$J$14,MATCH($C19,Resultados!$B$5:$B$14,0))),""))</f>
        <v/>
      </c>
      <c r="K19" s="43" t="str">
        <f>IF($C19="","",IFERROR(INDEX(Resultados!$F$5:$F$14,MATCH($C19,Resultados!$B$5:$B$14,0)),""))</f>
        <v/>
      </c>
      <c r="L19" s="44"/>
      <c r="M19" s="44"/>
      <c r="N19" s="44"/>
      <c r="O19" s="42" t="str">
        <f t="shared" si="1"/>
        <v/>
      </c>
      <c r="P19" s="42" t="str">
        <f t="shared" si="2"/>
        <v/>
      </c>
      <c r="Q19" s="42" t="str">
        <f t="shared" si="3"/>
        <v/>
      </c>
      <c r="R19" s="47" t="str">
        <f t="shared" si="4"/>
        <v/>
      </c>
      <c r="S19" s="42" t="str">
        <f t="shared" si="5"/>
        <v/>
      </c>
      <c r="T19" s="42" t="str">
        <f t="shared" si="6"/>
        <v/>
      </c>
    </row>
    <row r="20" spans="1:20" x14ac:dyDescent="0.3">
      <c r="A20" s="41"/>
      <c r="B20" s="41"/>
      <c r="C20" s="41"/>
      <c r="D20" s="41"/>
      <c r="E20" s="43" t="str">
        <f>IF($C20="","",IFERROR(INDEX(Resultados!$C$5:$C$14,MATCH($C20,Resultados!$B$5:$B$14,0)),""))</f>
        <v/>
      </c>
      <c r="F20" s="44"/>
      <c r="G20" s="45"/>
      <c r="H20" s="45"/>
      <c r="I20" s="46" t="str">
        <f t="shared" si="0"/>
        <v/>
      </c>
      <c r="J20" s="43" t="str">
        <f>IF($C20="","",IFERROR(MAX(INDEX(Resultados!$E$5:$E$14,MATCH($C20,Resultados!$B$5:$B$14,0)),INDEX(Resultados!$H$5:$H$14,MATCH($C20,Resultados!$B$5:$B$14,0)),INDEX(Resultados!$I$5:$I$14,MATCH($C20,Resultados!$B$5:$B$14,0)),INDEX(Resultados!$J$5:$J$14,MATCH($C20,Resultados!$B$5:$B$14,0))),""))</f>
        <v/>
      </c>
      <c r="K20" s="43" t="str">
        <f>IF($C20="","",IFERROR(INDEX(Resultados!$F$5:$F$14,MATCH($C20,Resultados!$B$5:$B$14,0)),""))</f>
        <v/>
      </c>
      <c r="L20" s="44"/>
      <c r="M20" s="44"/>
      <c r="N20" s="44"/>
      <c r="O20" s="42" t="str">
        <f t="shared" si="1"/>
        <v/>
      </c>
      <c r="P20" s="42" t="str">
        <f t="shared" si="2"/>
        <v/>
      </c>
      <c r="Q20" s="42" t="str">
        <f t="shared" si="3"/>
        <v/>
      </c>
      <c r="R20" s="47" t="str">
        <f t="shared" si="4"/>
        <v/>
      </c>
      <c r="S20" s="42" t="str">
        <f t="shared" si="5"/>
        <v/>
      </c>
      <c r="T20" s="42" t="str">
        <f t="shared" si="6"/>
        <v/>
      </c>
    </row>
    <row r="21" spans="1:20" x14ac:dyDescent="0.3">
      <c r="A21" s="41"/>
      <c r="B21" s="41"/>
      <c r="C21" s="41"/>
      <c r="D21" s="41"/>
      <c r="E21" s="43" t="str">
        <f>IF($C21="","",IFERROR(INDEX(Resultados!$C$5:$C$14,MATCH($C21,Resultados!$B$5:$B$14,0)),""))</f>
        <v/>
      </c>
      <c r="F21" s="44"/>
      <c r="G21" s="45"/>
      <c r="H21" s="45"/>
      <c r="I21" s="46" t="str">
        <f t="shared" si="0"/>
        <v/>
      </c>
      <c r="J21" s="43" t="str">
        <f>IF($C21="","",IFERROR(MAX(INDEX(Resultados!$E$5:$E$14,MATCH($C21,Resultados!$B$5:$B$14,0)),INDEX(Resultados!$H$5:$H$14,MATCH($C21,Resultados!$B$5:$B$14,0)),INDEX(Resultados!$I$5:$I$14,MATCH($C21,Resultados!$B$5:$B$14,0)),INDEX(Resultados!$J$5:$J$14,MATCH($C21,Resultados!$B$5:$B$14,0))),""))</f>
        <v/>
      </c>
      <c r="K21" s="43" t="str">
        <f>IF($C21="","",IFERROR(INDEX(Resultados!$F$5:$F$14,MATCH($C21,Resultados!$B$5:$B$14,0)),""))</f>
        <v/>
      </c>
      <c r="L21" s="44"/>
      <c r="M21" s="44"/>
      <c r="N21" s="44"/>
      <c r="O21" s="42" t="str">
        <f t="shared" si="1"/>
        <v/>
      </c>
      <c r="P21" s="42" t="str">
        <f t="shared" si="2"/>
        <v/>
      </c>
      <c r="Q21" s="42" t="str">
        <f t="shared" si="3"/>
        <v/>
      </c>
      <c r="R21" s="47" t="str">
        <f t="shared" si="4"/>
        <v/>
      </c>
      <c r="S21" s="42" t="str">
        <f t="shared" si="5"/>
        <v/>
      </c>
      <c r="T21" s="42" t="str">
        <f t="shared" si="6"/>
        <v/>
      </c>
    </row>
    <row r="22" spans="1:20" x14ac:dyDescent="0.3">
      <c r="A22" s="41"/>
      <c r="B22" s="41"/>
      <c r="C22" s="41"/>
      <c r="D22" s="41"/>
      <c r="E22" s="43" t="str">
        <f>IF($C22="","",IFERROR(INDEX(Resultados!$C$5:$C$14,MATCH($C22,Resultados!$B$5:$B$14,0)),""))</f>
        <v/>
      </c>
      <c r="F22" s="44"/>
      <c r="G22" s="45"/>
      <c r="H22" s="45"/>
      <c r="I22" s="46" t="str">
        <f t="shared" si="0"/>
        <v/>
      </c>
      <c r="J22" s="43" t="str">
        <f>IF($C22="","",IFERROR(MAX(INDEX(Resultados!$E$5:$E$14,MATCH($C22,Resultados!$B$5:$B$14,0)),INDEX(Resultados!$H$5:$H$14,MATCH($C22,Resultados!$B$5:$B$14,0)),INDEX(Resultados!$I$5:$I$14,MATCH($C22,Resultados!$B$5:$B$14,0)),INDEX(Resultados!$J$5:$J$14,MATCH($C22,Resultados!$B$5:$B$14,0))),""))</f>
        <v/>
      </c>
      <c r="K22" s="43" t="str">
        <f>IF($C22="","",IFERROR(INDEX(Resultados!$F$5:$F$14,MATCH($C22,Resultados!$B$5:$B$14,0)),""))</f>
        <v/>
      </c>
      <c r="L22" s="44"/>
      <c r="M22" s="44"/>
      <c r="N22" s="44"/>
      <c r="O22" s="42" t="str">
        <f t="shared" si="1"/>
        <v/>
      </c>
      <c r="P22" s="42" t="str">
        <f t="shared" si="2"/>
        <v/>
      </c>
      <c r="Q22" s="42" t="str">
        <f t="shared" si="3"/>
        <v/>
      </c>
      <c r="R22" s="47" t="str">
        <f t="shared" si="4"/>
        <v/>
      </c>
      <c r="S22" s="42" t="str">
        <f t="shared" si="5"/>
        <v/>
      </c>
      <c r="T22" s="42" t="str">
        <f t="shared" si="6"/>
        <v/>
      </c>
    </row>
    <row r="23" spans="1:20" x14ac:dyDescent="0.3">
      <c r="A23" s="41"/>
      <c r="B23" s="41"/>
      <c r="C23" s="41"/>
      <c r="D23" s="41"/>
      <c r="E23" s="43" t="str">
        <f>IF($C23="","",IFERROR(INDEX(Resultados!$C$5:$C$14,MATCH($C23,Resultados!$B$5:$B$14,0)),""))</f>
        <v/>
      </c>
      <c r="F23" s="44"/>
      <c r="G23" s="45"/>
      <c r="H23" s="45"/>
      <c r="I23" s="46" t="str">
        <f t="shared" si="0"/>
        <v/>
      </c>
      <c r="J23" s="43" t="str">
        <f>IF($C23="","",IFERROR(MAX(INDEX(Resultados!$E$5:$E$14,MATCH($C23,Resultados!$B$5:$B$14,0)),INDEX(Resultados!$H$5:$H$14,MATCH($C23,Resultados!$B$5:$B$14,0)),INDEX(Resultados!$I$5:$I$14,MATCH($C23,Resultados!$B$5:$B$14,0)),INDEX(Resultados!$J$5:$J$14,MATCH($C23,Resultados!$B$5:$B$14,0))),""))</f>
        <v/>
      </c>
      <c r="K23" s="43" t="str">
        <f>IF($C23="","",IFERROR(INDEX(Resultados!$F$5:$F$14,MATCH($C23,Resultados!$B$5:$B$14,0)),""))</f>
        <v/>
      </c>
      <c r="L23" s="44"/>
      <c r="M23" s="44"/>
      <c r="N23" s="44"/>
      <c r="O23" s="42" t="str">
        <f t="shared" si="1"/>
        <v/>
      </c>
      <c r="P23" s="42" t="str">
        <f t="shared" si="2"/>
        <v/>
      </c>
      <c r="Q23" s="42" t="str">
        <f t="shared" si="3"/>
        <v/>
      </c>
      <c r="R23" s="47" t="str">
        <f t="shared" si="4"/>
        <v/>
      </c>
      <c r="S23" s="42" t="str">
        <f t="shared" si="5"/>
        <v/>
      </c>
      <c r="T23" s="42" t="str">
        <f t="shared" si="6"/>
        <v/>
      </c>
    </row>
    <row r="24" spans="1:20" x14ac:dyDescent="0.3">
      <c r="A24" s="41"/>
      <c r="B24" s="41"/>
      <c r="C24" s="41"/>
      <c r="D24" s="41"/>
      <c r="E24" s="43" t="str">
        <f>IF($C24="","",IFERROR(INDEX(Resultados!$C$5:$C$14,MATCH($C24,Resultados!$B$5:$B$14,0)),""))</f>
        <v/>
      </c>
      <c r="F24" s="44"/>
      <c r="G24" s="45"/>
      <c r="H24" s="45"/>
      <c r="I24" s="46" t="str">
        <f t="shared" si="0"/>
        <v/>
      </c>
      <c r="J24" s="43" t="str">
        <f>IF($C24="","",IFERROR(MAX(INDEX(Resultados!$E$5:$E$14,MATCH($C24,Resultados!$B$5:$B$14,0)),INDEX(Resultados!$H$5:$H$14,MATCH($C24,Resultados!$B$5:$B$14,0)),INDEX(Resultados!$I$5:$I$14,MATCH($C24,Resultados!$B$5:$B$14,0)),INDEX(Resultados!$J$5:$J$14,MATCH($C24,Resultados!$B$5:$B$14,0))),""))</f>
        <v/>
      </c>
      <c r="K24" s="43" t="str">
        <f>IF($C24="","",IFERROR(INDEX(Resultados!$F$5:$F$14,MATCH($C24,Resultados!$B$5:$B$14,0)),""))</f>
        <v/>
      </c>
      <c r="L24" s="44"/>
      <c r="M24" s="44"/>
      <c r="N24" s="44"/>
      <c r="O24" s="42" t="str">
        <f t="shared" si="1"/>
        <v/>
      </c>
      <c r="P24" s="42" t="str">
        <f t="shared" si="2"/>
        <v/>
      </c>
      <c r="Q24" s="42" t="str">
        <f t="shared" si="3"/>
        <v/>
      </c>
      <c r="R24" s="47" t="str">
        <f t="shared" si="4"/>
        <v/>
      </c>
      <c r="S24" s="42" t="str">
        <f t="shared" si="5"/>
        <v/>
      </c>
      <c r="T24" s="42" t="str">
        <f t="shared" si="6"/>
        <v/>
      </c>
    </row>
    <row r="25" spans="1:20" x14ac:dyDescent="0.3">
      <c r="A25" s="41"/>
      <c r="B25" s="41"/>
      <c r="C25" s="41"/>
      <c r="D25" s="41"/>
      <c r="E25" s="43" t="str">
        <f>IF($C25="","",IFERROR(INDEX(Resultados!$C$5:$C$14,MATCH($C25,Resultados!$B$5:$B$14,0)),""))</f>
        <v/>
      </c>
      <c r="F25" s="44"/>
      <c r="G25" s="45"/>
      <c r="H25" s="45"/>
      <c r="I25" s="46" t="str">
        <f t="shared" si="0"/>
        <v/>
      </c>
      <c r="J25" s="43" t="str">
        <f>IF($C25="","",IFERROR(MAX(INDEX(Resultados!$E$5:$E$14,MATCH($C25,Resultados!$B$5:$B$14,0)),INDEX(Resultados!$H$5:$H$14,MATCH($C25,Resultados!$B$5:$B$14,0)),INDEX(Resultados!$I$5:$I$14,MATCH($C25,Resultados!$B$5:$B$14,0)),INDEX(Resultados!$J$5:$J$14,MATCH($C25,Resultados!$B$5:$B$14,0))),""))</f>
        <v/>
      </c>
      <c r="K25" s="43" t="str">
        <f>IF($C25="","",IFERROR(INDEX(Resultados!$F$5:$F$14,MATCH($C25,Resultados!$B$5:$B$14,0)),""))</f>
        <v/>
      </c>
      <c r="L25" s="44"/>
      <c r="M25" s="44"/>
      <c r="N25" s="44"/>
      <c r="O25" s="42" t="str">
        <f t="shared" si="1"/>
        <v/>
      </c>
      <c r="P25" s="42" t="str">
        <f t="shared" si="2"/>
        <v/>
      </c>
      <c r="Q25" s="42" t="str">
        <f t="shared" si="3"/>
        <v/>
      </c>
      <c r="R25" s="47" t="str">
        <f t="shared" si="4"/>
        <v/>
      </c>
      <c r="S25" s="42" t="str">
        <f t="shared" si="5"/>
        <v/>
      </c>
      <c r="T25" s="42" t="str">
        <f t="shared" si="6"/>
        <v/>
      </c>
    </row>
    <row r="26" spans="1:20" x14ac:dyDescent="0.3">
      <c r="A26" s="41"/>
      <c r="B26" s="41"/>
      <c r="C26" s="41"/>
      <c r="D26" s="41"/>
      <c r="E26" s="43" t="str">
        <f>IF($C26="","",IFERROR(INDEX(Resultados!$C$5:$C$14,MATCH($C26,Resultados!$B$5:$B$14,0)),""))</f>
        <v/>
      </c>
      <c r="F26" s="44"/>
      <c r="G26" s="45"/>
      <c r="H26" s="45"/>
      <c r="I26" s="46" t="str">
        <f t="shared" si="0"/>
        <v/>
      </c>
      <c r="J26" s="43" t="str">
        <f>IF($C26="","",IFERROR(MAX(INDEX(Resultados!$E$5:$E$14,MATCH($C26,Resultados!$B$5:$B$14,0)),INDEX(Resultados!$H$5:$H$14,MATCH($C26,Resultados!$B$5:$B$14,0)),INDEX(Resultados!$I$5:$I$14,MATCH($C26,Resultados!$B$5:$B$14,0)),INDEX(Resultados!$J$5:$J$14,MATCH($C26,Resultados!$B$5:$B$14,0))),""))</f>
        <v/>
      </c>
      <c r="K26" s="43" t="str">
        <f>IF($C26="","",IFERROR(INDEX(Resultados!$F$5:$F$14,MATCH($C26,Resultados!$B$5:$B$14,0)),""))</f>
        <v/>
      </c>
      <c r="L26" s="44"/>
      <c r="M26" s="44"/>
      <c r="N26" s="44"/>
      <c r="O26" s="42" t="str">
        <f t="shared" si="1"/>
        <v/>
      </c>
      <c r="P26" s="42" t="str">
        <f t="shared" si="2"/>
        <v/>
      </c>
      <c r="Q26" s="42" t="str">
        <f t="shared" si="3"/>
        <v/>
      </c>
      <c r="R26" s="47" t="str">
        <f t="shared" si="4"/>
        <v/>
      </c>
      <c r="S26" s="42" t="str">
        <f t="shared" si="5"/>
        <v/>
      </c>
      <c r="T26" s="42" t="str">
        <f t="shared" si="6"/>
        <v/>
      </c>
    </row>
    <row r="27" spans="1:20" x14ac:dyDescent="0.3">
      <c r="A27" s="41"/>
      <c r="B27" s="41"/>
      <c r="C27" s="41"/>
      <c r="D27" s="41"/>
      <c r="E27" s="43" t="str">
        <f>IF($C27="","",IFERROR(INDEX(Resultados!$C$5:$C$14,MATCH($C27,Resultados!$B$5:$B$14,0)),""))</f>
        <v/>
      </c>
      <c r="F27" s="44"/>
      <c r="G27" s="45"/>
      <c r="H27" s="45"/>
      <c r="I27" s="46" t="str">
        <f t="shared" si="0"/>
        <v/>
      </c>
      <c r="J27" s="43" t="str">
        <f>IF($C27="","",IFERROR(MAX(INDEX(Resultados!$E$5:$E$14,MATCH($C27,Resultados!$B$5:$B$14,0)),INDEX(Resultados!$H$5:$H$14,MATCH($C27,Resultados!$B$5:$B$14,0)),INDEX(Resultados!$I$5:$I$14,MATCH($C27,Resultados!$B$5:$B$14,0)),INDEX(Resultados!$J$5:$J$14,MATCH($C27,Resultados!$B$5:$B$14,0))),""))</f>
        <v/>
      </c>
      <c r="K27" s="43" t="str">
        <f>IF($C27="","",IFERROR(INDEX(Resultados!$F$5:$F$14,MATCH($C27,Resultados!$B$5:$B$14,0)),""))</f>
        <v/>
      </c>
      <c r="L27" s="44"/>
      <c r="M27" s="44"/>
      <c r="N27" s="44"/>
      <c r="O27" s="42" t="str">
        <f t="shared" si="1"/>
        <v/>
      </c>
      <c r="P27" s="42" t="str">
        <f t="shared" si="2"/>
        <v/>
      </c>
      <c r="Q27" s="42" t="str">
        <f t="shared" si="3"/>
        <v/>
      </c>
      <c r="R27" s="47" t="str">
        <f t="shared" si="4"/>
        <v/>
      </c>
      <c r="S27" s="42" t="str">
        <f t="shared" si="5"/>
        <v/>
      </c>
      <c r="T27" s="42" t="str">
        <f t="shared" si="6"/>
        <v/>
      </c>
    </row>
    <row r="28" spans="1:20" x14ac:dyDescent="0.3">
      <c r="A28" s="41"/>
      <c r="B28" s="41"/>
      <c r="C28" s="41"/>
      <c r="D28" s="41"/>
      <c r="E28" s="43" t="str">
        <f>IF($C28="","",IFERROR(INDEX(Resultados!$C$5:$C$14,MATCH($C28,Resultados!$B$5:$B$14,0)),""))</f>
        <v/>
      </c>
      <c r="F28" s="44"/>
      <c r="G28" s="45"/>
      <c r="H28" s="45"/>
      <c r="I28" s="46" t="str">
        <f t="shared" si="0"/>
        <v/>
      </c>
      <c r="J28" s="43" t="str">
        <f>IF($C28="","",IFERROR(MAX(INDEX(Resultados!$E$5:$E$14,MATCH($C28,Resultados!$B$5:$B$14,0)),INDEX(Resultados!$H$5:$H$14,MATCH($C28,Resultados!$B$5:$B$14,0)),INDEX(Resultados!$I$5:$I$14,MATCH($C28,Resultados!$B$5:$B$14,0)),INDEX(Resultados!$J$5:$J$14,MATCH($C28,Resultados!$B$5:$B$14,0))),""))</f>
        <v/>
      </c>
      <c r="K28" s="43" t="str">
        <f>IF($C28="","",IFERROR(INDEX(Resultados!$F$5:$F$14,MATCH($C28,Resultados!$B$5:$B$14,0)),""))</f>
        <v/>
      </c>
      <c r="L28" s="44"/>
      <c r="M28" s="44"/>
      <c r="N28" s="44"/>
      <c r="O28" s="42" t="str">
        <f t="shared" si="1"/>
        <v/>
      </c>
      <c r="P28" s="42" t="str">
        <f t="shared" si="2"/>
        <v/>
      </c>
      <c r="Q28" s="42" t="str">
        <f t="shared" si="3"/>
        <v/>
      </c>
      <c r="R28" s="47" t="str">
        <f t="shared" si="4"/>
        <v/>
      </c>
      <c r="S28" s="42" t="str">
        <f t="shared" si="5"/>
        <v/>
      </c>
      <c r="T28" s="42" t="str">
        <f t="shared" si="6"/>
        <v/>
      </c>
    </row>
    <row r="31" spans="1:20" x14ac:dyDescent="0.3">
      <c r="A31" s="71" t="s">
        <v>367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</row>
    <row r="33" spans="1:20" x14ac:dyDescent="0.3">
      <c r="A33" s="48" t="s">
        <v>368</v>
      </c>
      <c r="B33" s="48" t="s">
        <v>369</v>
      </c>
      <c r="C33" s="48" t="s">
        <v>370</v>
      </c>
      <c r="D33" s="48" t="s">
        <v>371</v>
      </c>
      <c r="E33" s="48" t="s">
        <v>372</v>
      </c>
      <c r="F33" s="48" t="s">
        <v>373</v>
      </c>
      <c r="G33" s="48"/>
      <c r="H33" s="48" t="s">
        <v>374</v>
      </c>
      <c r="I33" s="48" t="s">
        <v>375</v>
      </c>
      <c r="J33" s="48" t="s">
        <v>376</v>
      </c>
      <c r="K33" s="48" t="s">
        <v>377</v>
      </c>
      <c r="L33" s="48" t="s">
        <v>378</v>
      </c>
      <c r="M33" s="48" t="s">
        <v>379</v>
      </c>
      <c r="N33" s="48" t="s">
        <v>380</v>
      </c>
      <c r="O33" t="s">
        <v>381</v>
      </c>
    </row>
    <row r="34" spans="1:20" x14ac:dyDescent="0.3">
      <c r="A34" s="48"/>
      <c r="B34" s="48" t="s">
        <v>382</v>
      </c>
      <c r="C34" s="48" t="s">
        <v>383</v>
      </c>
      <c r="D34" s="48" t="s">
        <v>384</v>
      </c>
      <c r="E34" s="48" t="s">
        <v>385</v>
      </c>
      <c r="F34" s="48" t="s">
        <v>386</v>
      </c>
      <c r="G34" s="48"/>
      <c r="H34" s="48" t="s">
        <v>387</v>
      </c>
      <c r="I34" s="48" t="s">
        <v>377</v>
      </c>
      <c r="J34" s="48" t="s">
        <v>379</v>
      </c>
      <c r="K34" s="48" t="s">
        <v>388</v>
      </c>
      <c r="L34" s="48" t="s">
        <v>389</v>
      </c>
      <c r="M34" s="48" t="s">
        <v>390</v>
      </c>
      <c r="N34" s="48" t="s">
        <v>391</v>
      </c>
      <c r="O34" t="s">
        <v>392</v>
      </c>
    </row>
    <row r="36" spans="1:20" x14ac:dyDescent="0.3">
      <c r="A36" s="72" t="s">
        <v>393</v>
      </c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</row>
    <row r="37" spans="1:20" x14ac:dyDescent="0.3">
      <c r="A37" s="73" t="s">
        <v>394</v>
      </c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</row>
    <row r="38" spans="1:20" x14ac:dyDescent="0.3">
      <c r="A38" s="73" t="s">
        <v>395</v>
      </c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</row>
    <row r="39" spans="1:20" x14ac:dyDescent="0.3">
      <c r="A39" s="73" t="s">
        <v>396</v>
      </c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</row>
    <row r="40" spans="1:20" x14ac:dyDescent="0.3">
      <c r="A40" s="73" t="s">
        <v>397</v>
      </c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</row>
  </sheetData>
  <mergeCells count="20">
    <mergeCell ref="A40:T40"/>
    <mergeCell ref="A5:B5"/>
    <mergeCell ref="A6:B6"/>
    <mergeCell ref="A7:B7"/>
    <mergeCell ref="F5:J5"/>
    <mergeCell ref="F6:J6"/>
    <mergeCell ref="F7:J7"/>
    <mergeCell ref="L5:T5"/>
    <mergeCell ref="L6:T6"/>
    <mergeCell ref="L7:T7"/>
    <mergeCell ref="A31:T31"/>
    <mergeCell ref="A36:T36"/>
    <mergeCell ref="A37:T37"/>
    <mergeCell ref="A38:T38"/>
    <mergeCell ref="A39:T39"/>
    <mergeCell ref="A1:T1"/>
    <mergeCell ref="A2:T2"/>
    <mergeCell ref="A4:D4"/>
    <mergeCell ref="F4:J4"/>
    <mergeCell ref="L4:T4"/>
  </mergeCells>
  <conditionalFormatting sqref="O9:O28">
    <cfRule type="expression" dxfId="11" priority="4">
      <formula>O9="OK"</formula>
    </cfRule>
    <cfRule type="expression" dxfId="10" priority="5">
      <formula>O9="NO"</formula>
    </cfRule>
    <cfRule type="expression" dxfId="9" priority="6">
      <formula>O9="PEND."</formula>
    </cfRule>
  </conditionalFormatting>
  <conditionalFormatting sqref="P9:P28">
    <cfRule type="expression" dxfId="8" priority="7">
      <formula>P9="OK"</formula>
    </cfRule>
    <cfRule type="expression" dxfId="7" priority="8">
      <formula>P9="NO"</formula>
    </cfRule>
    <cfRule type="expression" dxfId="6" priority="9">
      <formula>P9="PEND."</formula>
    </cfRule>
  </conditionalFormatting>
  <conditionalFormatting sqref="Q9:Q28">
    <cfRule type="expression" dxfId="5" priority="10">
      <formula>Q9="OK"</formula>
    </cfRule>
    <cfRule type="expression" dxfId="4" priority="11">
      <formula>Q9="NO"</formula>
    </cfRule>
    <cfRule type="expression" dxfId="3" priority="12">
      <formula>Q9="PEND."</formula>
    </cfRule>
  </conditionalFormatting>
  <conditionalFormatting sqref="S9:S28">
    <cfRule type="expression" dxfId="2" priority="1">
      <formula>S9="ACEPTA"</formula>
    </cfRule>
    <cfRule type="expression" dxfId="1" priority="2">
      <formula>S9="REVISAR"</formula>
    </cfRule>
    <cfRule type="expression" dxfId="0" priority="3">
      <formula>S9="PEND."</formula>
    </cfRule>
  </conditionalFormatting>
  <dataValidations disablePrompts="1" count="1">
    <dataValidation type="list" sqref="D9:D28" xr:uid="{00000000-0002-0000-0C00-000001000000}">
      <formula1>"Interruptor MT,Interruptor BT,Fusible,Relé 50/51,Relé 50N/51N,Reconectador,Seccionador fusible"</formula1>
    </dataValidation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showInputMessage="1" showErrorMessage="1" errorTitle="Bus no válido" error="Seleccione un bus de la lista." promptTitle="Bus asociado" prompt="Seleccione un bus existente en la hoja Resultados." xr:uid="{00000000-0002-0000-0C00-000000000000}">
          <x14:formula1>
            <xm:f>Resultados!$B$5:$B$14</xm:f>
          </x14:formula1>
          <xm:sqref>C9:C28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4472C4"/>
  </sheetPr>
  <dimension ref="A1:C55"/>
  <sheetViews>
    <sheetView showGridLines="0" topLeftCell="A48" workbookViewId="0"/>
  </sheetViews>
  <sheetFormatPr defaultColWidth="8.6640625" defaultRowHeight="14.4" x14ac:dyDescent="0.3"/>
  <cols>
    <col min="1" max="1" width="3" customWidth="1"/>
    <col min="2" max="2" width="26" customWidth="1"/>
    <col min="3" max="3" width="80" customWidth="1"/>
  </cols>
  <sheetData>
    <row r="1" spans="2:3" ht="36" customHeight="1" x14ac:dyDescent="0.3">
      <c r="B1" s="55" t="s">
        <v>44</v>
      </c>
      <c r="C1" s="55"/>
    </row>
    <row r="2" spans="2:3" ht="21.75" customHeight="1" x14ac:dyDescent="0.3">
      <c r="B2" s="56" t="s">
        <v>45</v>
      </c>
      <c r="C2" s="56"/>
    </row>
    <row r="4" spans="2:3" ht="19.5" customHeight="1" x14ac:dyDescent="0.3">
      <c r="B4" s="51" t="s">
        <v>46</v>
      </c>
      <c r="C4" s="51"/>
    </row>
    <row r="5" spans="2:3" ht="60" customHeight="1" x14ac:dyDescent="0.3">
      <c r="B5" s="10" t="s">
        <v>47</v>
      </c>
      <c r="C5" s="11" t="s">
        <v>48</v>
      </c>
    </row>
    <row r="6" spans="2:3" ht="60" customHeight="1" x14ac:dyDescent="0.3">
      <c r="B6" s="10" t="s">
        <v>49</v>
      </c>
      <c r="C6" s="12" t="s">
        <v>50</v>
      </c>
    </row>
    <row r="7" spans="2:3" ht="60" customHeight="1" x14ac:dyDescent="0.3">
      <c r="B7" s="10" t="s">
        <v>51</v>
      </c>
      <c r="C7" s="11" t="s">
        <v>52</v>
      </c>
    </row>
    <row r="8" spans="2:3" ht="60" customHeight="1" x14ac:dyDescent="0.3">
      <c r="B8" s="10" t="s">
        <v>53</v>
      </c>
      <c r="C8" s="12" t="s">
        <v>54</v>
      </c>
    </row>
    <row r="10" spans="2:3" ht="19.5" customHeight="1" x14ac:dyDescent="0.3">
      <c r="B10" s="51" t="s">
        <v>55</v>
      </c>
      <c r="C10" s="51"/>
    </row>
    <row r="11" spans="2:3" ht="42" customHeight="1" x14ac:dyDescent="0.3">
      <c r="B11" s="10" t="s">
        <v>56</v>
      </c>
      <c r="C11" s="11" t="s">
        <v>57</v>
      </c>
    </row>
    <row r="12" spans="2:3" ht="42" customHeight="1" x14ac:dyDescent="0.3">
      <c r="B12" s="10" t="s">
        <v>58</v>
      </c>
      <c r="C12" s="12" t="s">
        <v>59</v>
      </c>
    </row>
    <row r="13" spans="2:3" ht="36" customHeight="1" x14ac:dyDescent="0.3">
      <c r="B13" s="10" t="s">
        <v>60</v>
      </c>
      <c r="C13" s="11" t="s">
        <v>61</v>
      </c>
    </row>
    <row r="14" spans="2:3" ht="24.75" customHeight="1" x14ac:dyDescent="0.3">
      <c r="B14" s="10" t="s">
        <v>62</v>
      </c>
      <c r="C14" s="12" t="s">
        <v>63</v>
      </c>
    </row>
    <row r="15" spans="2:3" ht="43.5" customHeight="1" x14ac:dyDescent="0.3">
      <c r="B15" s="10" t="s">
        <v>64</v>
      </c>
      <c r="C15" s="11" t="s">
        <v>65</v>
      </c>
    </row>
    <row r="17" spans="2:3" ht="19.5" customHeight="1" x14ac:dyDescent="0.3">
      <c r="B17" s="51" t="s">
        <v>66</v>
      </c>
      <c r="C17" s="51"/>
    </row>
    <row r="18" spans="2:3" ht="40.5" customHeight="1" x14ac:dyDescent="0.3">
      <c r="B18" s="10" t="s">
        <v>67</v>
      </c>
      <c r="C18" s="11" t="s">
        <v>68</v>
      </c>
    </row>
    <row r="19" spans="2:3" ht="42" customHeight="1" x14ac:dyDescent="0.3">
      <c r="B19" s="10" t="s">
        <v>69</v>
      </c>
      <c r="C19" s="12" t="s">
        <v>70</v>
      </c>
    </row>
    <row r="20" spans="2:3" ht="60" customHeight="1" x14ac:dyDescent="0.3">
      <c r="B20" s="10" t="s">
        <v>71</v>
      </c>
      <c r="C20" s="11" t="s">
        <v>72</v>
      </c>
    </row>
    <row r="21" spans="2:3" ht="60" customHeight="1" x14ac:dyDescent="0.3">
      <c r="B21" s="10" t="s">
        <v>73</v>
      </c>
      <c r="C21" s="12" t="s">
        <v>74</v>
      </c>
    </row>
    <row r="22" spans="2:3" ht="58.5" customHeight="1" x14ac:dyDescent="0.3">
      <c r="B22" s="10" t="s">
        <v>75</v>
      </c>
      <c r="C22" s="11" t="s">
        <v>76</v>
      </c>
    </row>
    <row r="23" spans="2:3" ht="48.75" customHeight="1" x14ac:dyDescent="0.3">
      <c r="B23" s="10" t="s">
        <v>77</v>
      </c>
      <c r="C23" s="12" t="s">
        <v>78</v>
      </c>
    </row>
    <row r="24" spans="2:3" ht="60" customHeight="1" x14ac:dyDescent="0.3">
      <c r="B24" s="10" t="s">
        <v>79</v>
      </c>
      <c r="C24" s="11" t="s">
        <v>80</v>
      </c>
    </row>
    <row r="26" spans="2:3" ht="19.5" customHeight="1" x14ac:dyDescent="0.3">
      <c r="B26" s="51" t="s">
        <v>81</v>
      </c>
      <c r="C26" s="51"/>
    </row>
    <row r="27" spans="2:3" ht="43.5" customHeight="1" x14ac:dyDescent="0.3">
      <c r="B27" s="10" t="s">
        <v>82</v>
      </c>
      <c r="C27" s="11" t="s">
        <v>83</v>
      </c>
    </row>
    <row r="28" spans="2:3" ht="46.5" customHeight="1" x14ac:dyDescent="0.3">
      <c r="B28" s="10" t="s">
        <v>84</v>
      </c>
      <c r="C28" s="12" t="s">
        <v>85</v>
      </c>
    </row>
    <row r="29" spans="2:3" ht="51" customHeight="1" x14ac:dyDescent="0.3">
      <c r="B29" s="10" t="s">
        <v>86</v>
      </c>
      <c r="C29" s="11" t="s">
        <v>87</v>
      </c>
    </row>
    <row r="31" spans="2:3" ht="19.5" customHeight="1" x14ac:dyDescent="0.3">
      <c r="B31" s="51" t="s">
        <v>88</v>
      </c>
      <c r="C31" s="51"/>
    </row>
    <row r="32" spans="2:3" ht="60" customHeight="1" x14ac:dyDescent="0.3">
      <c r="B32" s="10" t="s">
        <v>16</v>
      </c>
      <c r="C32" s="11" t="s">
        <v>89</v>
      </c>
    </row>
    <row r="33" spans="2:3" ht="60" customHeight="1" x14ac:dyDescent="0.3">
      <c r="B33" s="10" t="s">
        <v>4</v>
      </c>
      <c r="C33" s="12" t="s">
        <v>90</v>
      </c>
    </row>
    <row r="34" spans="2:3" ht="60" customHeight="1" x14ac:dyDescent="0.3">
      <c r="B34" s="10" t="s">
        <v>5</v>
      </c>
      <c r="C34" s="11" t="s">
        <v>91</v>
      </c>
    </row>
    <row r="35" spans="2:3" ht="60" customHeight="1" x14ac:dyDescent="0.3">
      <c r="B35" s="10" t="s">
        <v>6</v>
      </c>
      <c r="C35" s="12" t="s">
        <v>92</v>
      </c>
    </row>
    <row r="36" spans="2:3" ht="60" customHeight="1" x14ac:dyDescent="0.3">
      <c r="B36" s="10" t="s">
        <v>93</v>
      </c>
      <c r="C36" s="11" t="s">
        <v>94</v>
      </c>
    </row>
    <row r="37" spans="2:3" ht="60" customHeight="1" x14ac:dyDescent="0.3">
      <c r="B37" s="10" t="s">
        <v>95</v>
      </c>
      <c r="C37" s="12" t="s">
        <v>96</v>
      </c>
    </row>
    <row r="39" spans="2:3" ht="19.5" customHeight="1" x14ac:dyDescent="0.3">
      <c r="B39" s="51" t="s">
        <v>97</v>
      </c>
      <c r="C39" s="51"/>
    </row>
    <row r="40" spans="2:3" ht="48" customHeight="1" x14ac:dyDescent="0.3">
      <c r="B40" s="10" t="s">
        <v>98</v>
      </c>
      <c r="C40" s="11" t="s">
        <v>99</v>
      </c>
    </row>
    <row r="41" spans="2:3" ht="60" customHeight="1" x14ac:dyDescent="0.3">
      <c r="B41" s="10" t="s">
        <v>100</v>
      </c>
      <c r="C41" s="12" t="s">
        <v>101</v>
      </c>
    </row>
    <row r="42" spans="2:3" ht="60" customHeight="1" x14ac:dyDescent="0.3">
      <c r="B42" s="10" t="s">
        <v>102</v>
      </c>
      <c r="C42" s="11" t="s">
        <v>103</v>
      </c>
    </row>
    <row r="44" spans="2:3" ht="19.5" customHeight="1" x14ac:dyDescent="0.3">
      <c r="B44" s="51" t="s">
        <v>104</v>
      </c>
      <c r="C44" s="51"/>
    </row>
    <row r="45" spans="2:3" ht="45" customHeight="1" x14ac:dyDescent="0.3">
      <c r="B45" s="10" t="s">
        <v>105</v>
      </c>
      <c r="C45" s="11" t="s">
        <v>106</v>
      </c>
    </row>
    <row r="46" spans="2:3" ht="51.75" customHeight="1" x14ac:dyDescent="0.3">
      <c r="B46" s="10" t="s">
        <v>107</v>
      </c>
      <c r="C46" s="12" t="s">
        <v>108</v>
      </c>
    </row>
    <row r="47" spans="2:3" ht="51.75" customHeight="1" x14ac:dyDescent="0.3">
      <c r="B47" s="10" t="s">
        <v>109</v>
      </c>
      <c r="C47" s="11" t="s">
        <v>110</v>
      </c>
    </row>
    <row r="48" spans="2:3" ht="55.5" customHeight="1" x14ac:dyDescent="0.3">
      <c r="B48" s="10" t="s">
        <v>111</v>
      </c>
      <c r="C48" s="12" t="s">
        <v>112</v>
      </c>
    </row>
    <row r="49" spans="1:3" ht="22.5" customHeight="1" x14ac:dyDescent="0.3">
      <c r="B49" s="10" t="s">
        <v>113</v>
      </c>
      <c r="C49" s="11" t="s">
        <v>114</v>
      </c>
    </row>
    <row r="50" spans="1:3" ht="27.75" customHeight="1" x14ac:dyDescent="0.3">
      <c r="B50" s="10" t="s">
        <v>115</v>
      </c>
      <c r="C50" s="12" t="s">
        <v>116</v>
      </c>
    </row>
    <row r="51" spans="1:3" ht="42.75" customHeight="1" x14ac:dyDescent="0.3">
      <c r="B51" s="10" t="s">
        <v>117</v>
      </c>
      <c r="C51" s="11" t="s">
        <v>118</v>
      </c>
    </row>
    <row r="53" spans="1:3" ht="18" x14ac:dyDescent="0.35">
      <c r="A53" s="57" t="s">
        <v>273</v>
      </c>
      <c r="B53" s="58"/>
      <c r="C53" s="58"/>
    </row>
    <row r="54" spans="1:3" x14ac:dyDescent="0.3">
      <c r="A54" s="59" t="s">
        <v>274</v>
      </c>
      <c r="B54" s="58"/>
      <c r="C54" s="58"/>
    </row>
    <row r="55" spans="1:3" x14ac:dyDescent="0.3">
      <c r="A55" s="58" t="s">
        <v>275</v>
      </c>
      <c r="B55" s="58"/>
      <c r="C55" s="58"/>
    </row>
  </sheetData>
  <mergeCells count="11">
    <mergeCell ref="A53:C53"/>
    <mergeCell ref="A54:C55"/>
    <mergeCell ref="B26:C26"/>
    <mergeCell ref="B31:C31"/>
    <mergeCell ref="B39:C39"/>
    <mergeCell ref="B44:C44"/>
    <mergeCell ref="B1:C1"/>
    <mergeCell ref="B2:C2"/>
    <mergeCell ref="B4:C4"/>
    <mergeCell ref="B10:C10"/>
    <mergeCell ref="B17:C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ED7D31"/>
  </sheetPr>
  <dimension ref="B1:E11"/>
  <sheetViews>
    <sheetView showGridLines="0" zoomScale="72" zoomScaleNormal="72" workbookViewId="0">
      <selection activeCell="E18" sqref="E18"/>
    </sheetView>
  </sheetViews>
  <sheetFormatPr defaultColWidth="8.6640625" defaultRowHeight="14.4" x14ac:dyDescent="0.3"/>
  <cols>
    <col min="1" max="1" width="3" customWidth="1"/>
    <col min="2" max="2" width="21.33203125" bestFit="1" customWidth="1"/>
    <col min="3" max="3" width="55.44140625" customWidth="1"/>
    <col min="4" max="4" width="6.5546875" bestFit="1" customWidth="1"/>
    <col min="5" max="5" width="59.77734375" customWidth="1"/>
  </cols>
  <sheetData>
    <row r="1" spans="2:5" ht="36" customHeight="1" x14ac:dyDescent="0.3">
      <c r="B1" s="55" t="s">
        <v>119</v>
      </c>
      <c r="C1" s="55"/>
      <c r="D1" s="55"/>
      <c r="E1" s="55"/>
    </row>
    <row r="2" spans="2:5" ht="19.5" customHeight="1" x14ac:dyDescent="0.3">
      <c r="B2" s="56" t="s">
        <v>120</v>
      </c>
      <c r="C2" s="56"/>
      <c r="D2" s="56"/>
      <c r="E2" s="56"/>
    </row>
    <row r="3" spans="2:5" ht="24" customHeight="1" x14ac:dyDescent="0.3">
      <c r="B3" s="13" t="s">
        <v>121</v>
      </c>
      <c r="C3" s="13" t="s">
        <v>122</v>
      </c>
      <c r="D3" s="13" t="s">
        <v>123</v>
      </c>
      <c r="E3" s="13" t="s">
        <v>124</v>
      </c>
    </row>
    <row r="4" spans="2:5" ht="19.5" customHeight="1" x14ac:dyDescent="0.3">
      <c r="B4" s="1" t="s">
        <v>125</v>
      </c>
      <c r="C4" s="26">
        <v>100</v>
      </c>
      <c r="D4" s="14" t="s">
        <v>126</v>
      </c>
      <c r="E4" s="15" t="s">
        <v>127</v>
      </c>
    </row>
    <row r="5" spans="2:5" ht="19.5" customHeight="1" x14ac:dyDescent="0.3">
      <c r="B5" s="1" t="s">
        <v>128</v>
      </c>
      <c r="C5" s="27" t="s">
        <v>276</v>
      </c>
      <c r="D5" s="14" t="s">
        <v>129</v>
      </c>
      <c r="E5" s="15" t="s">
        <v>130</v>
      </c>
    </row>
    <row r="6" spans="2:5" x14ac:dyDescent="0.3">
      <c r="B6" s="1" t="s">
        <v>131</v>
      </c>
      <c r="C6" s="26">
        <v>50</v>
      </c>
      <c r="D6" s="14" t="s">
        <v>132</v>
      </c>
      <c r="E6" s="15" t="s">
        <v>133</v>
      </c>
    </row>
    <row r="7" spans="2:5" ht="27.6" x14ac:dyDescent="0.3">
      <c r="B7" s="1" t="s">
        <v>134</v>
      </c>
      <c r="C7" s="26">
        <v>1</v>
      </c>
      <c r="D7" s="14" t="s">
        <v>135</v>
      </c>
      <c r="E7" s="15" t="s">
        <v>136</v>
      </c>
    </row>
    <row r="8" spans="2:5" ht="27.6" x14ac:dyDescent="0.3">
      <c r="B8" s="1" t="s">
        <v>137</v>
      </c>
      <c r="C8" s="6" t="s">
        <v>277</v>
      </c>
      <c r="D8" s="14" t="s">
        <v>138</v>
      </c>
      <c r="E8" s="15"/>
    </row>
    <row r="9" spans="2:5" ht="19.5" customHeight="1" x14ac:dyDescent="0.3">
      <c r="B9" s="1"/>
      <c r="C9" s="6"/>
      <c r="D9" s="14" t="s">
        <v>138</v>
      </c>
      <c r="E9" s="15"/>
    </row>
    <row r="11" spans="2:5" ht="36" customHeight="1" x14ac:dyDescent="0.3">
      <c r="B11" s="60" t="s">
        <v>400</v>
      </c>
      <c r="C11" s="60"/>
      <c r="D11" s="60"/>
      <c r="E11" s="60"/>
    </row>
  </sheetData>
  <mergeCells count="3">
    <mergeCell ref="B1:E1"/>
    <mergeCell ref="B2:E2"/>
    <mergeCell ref="B11:E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B1:H17"/>
  <sheetViews>
    <sheetView showGridLines="0" workbookViewId="0">
      <selection activeCell="B17" sqref="B17:H17"/>
    </sheetView>
  </sheetViews>
  <sheetFormatPr defaultColWidth="8.6640625" defaultRowHeight="14.4" x14ac:dyDescent="0.3"/>
  <cols>
    <col min="1" max="1" width="3" customWidth="1"/>
    <col min="2" max="2" width="12.5546875" bestFit="1" customWidth="1"/>
    <col min="3" max="3" width="38.109375" customWidth="1"/>
    <col min="4" max="4" width="6.5546875" customWidth="1"/>
    <col min="5" max="5" width="4.5546875" customWidth="1"/>
    <col min="6" max="6" width="9" customWidth="1"/>
    <col min="7" max="7" width="8.44140625" bestFit="1" customWidth="1"/>
    <col min="8" max="8" width="29.44140625" customWidth="1"/>
  </cols>
  <sheetData>
    <row r="1" spans="2:8" ht="36" customHeight="1" x14ac:dyDescent="0.3">
      <c r="B1" s="55" t="s">
        <v>139</v>
      </c>
      <c r="C1" s="55"/>
      <c r="D1" s="55"/>
      <c r="E1" s="55"/>
      <c r="F1" s="55"/>
      <c r="G1" s="55"/>
      <c r="H1" s="55"/>
    </row>
    <row r="2" spans="2:8" ht="19.5" customHeight="1" x14ac:dyDescent="0.3">
      <c r="B2" s="56" t="s">
        <v>140</v>
      </c>
      <c r="C2" s="56"/>
      <c r="D2" s="56"/>
      <c r="E2" s="56"/>
      <c r="F2" s="56"/>
      <c r="G2" s="56"/>
      <c r="H2" s="56"/>
    </row>
    <row r="4" spans="2:8" ht="27.75" customHeight="1" x14ac:dyDescent="0.3">
      <c r="B4" s="13" t="s">
        <v>141</v>
      </c>
      <c r="C4" s="13" t="s">
        <v>142</v>
      </c>
      <c r="D4" s="13" t="s">
        <v>143</v>
      </c>
      <c r="E4" s="13" t="s">
        <v>144</v>
      </c>
      <c r="F4" s="13" t="s">
        <v>145</v>
      </c>
      <c r="G4" s="13" t="s">
        <v>146</v>
      </c>
      <c r="H4" s="13" t="s">
        <v>147</v>
      </c>
    </row>
    <row r="5" spans="2:8" ht="27.6" x14ac:dyDescent="0.3">
      <c r="B5" s="6" t="s">
        <v>278</v>
      </c>
      <c r="C5" s="6" t="s">
        <v>279</v>
      </c>
      <c r="D5" s="26">
        <v>22</v>
      </c>
      <c r="E5" s="6" t="s">
        <v>280</v>
      </c>
      <c r="F5" s="16">
        <v>0</v>
      </c>
      <c r="G5" s="16">
        <v>0</v>
      </c>
      <c r="H5" s="17" t="s">
        <v>281</v>
      </c>
    </row>
    <row r="6" spans="2:8" x14ac:dyDescent="0.3">
      <c r="B6" s="6" t="s">
        <v>282</v>
      </c>
      <c r="C6" s="6" t="s">
        <v>283</v>
      </c>
      <c r="D6" s="26">
        <v>0.4</v>
      </c>
      <c r="E6" s="6" t="s">
        <v>280</v>
      </c>
      <c r="F6" s="16">
        <v>0</v>
      </c>
      <c r="G6" s="16">
        <v>0</v>
      </c>
      <c r="H6" s="17" t="s">
        <v>284</v>
      </c>
    </row>
    <row r="7" spans="2:8" ht="27.6" x14ac:dyDescent="0.3">
      <c r="B7" s="6" t="s">
        <v>271</v>
      </c>
      <c r="C7" s="6" t="s">
        <v>285</v>
      </c>
      <c r="D7" s="26">
        <v>0.4</v>
      </c>
      <c r="E7" s="6" t="s">
        <v>280</v>
      </c>
      <c r="F7" s="16">
        <v>0</v>
      </c>
      <c r="G7" s="16">
        <v>0</v>
      </c>
      <c r="H7" s="17" t="s">
        <v>286</v>
      </c>
    </row>
    <row r="8" spans="2:8" ht="19.5" customHeight="1" x14ac:dyDescent="0.3">
      <c r="B8" s="6"/>
      <c r="C8" s="6"/>
      <c r="D8" s="26"/>
      <c r="E8" s="6" t="s">
        <v>287</v>
      </c>
      <c r="F8" s="16">
        <v>0</v>
      </c>
      <c r="G8" s="16">
        <v>0</v>
      </c>
      <c r="H8" s="17"/>
    </row>
    <row r="9" spans="2:8" ht="19.5" customHeight="1" x14ac:dyDescent="0.3">
      <c r="B9" s="6"/>
      <c r="C9" s="6"/>
      <c r="D9" s="26"/>
      <c r="E9" s="6" t="s">
        <v>287</v>
      </c>
      <c r="F9" s="16">
        <v>0</v>
      </c>
      <c r="G9" s="16">
        <v>0</v>
      </c>
      <c r="H9" s="17"/>
    </row>
    <row r="10" spans="2:8" ht="19.5" customHeight="1" x14ac:dyDescent="0.3">
      <c r="B10" s="6"/>
      <c r="C10" s="6"/>
      <c r="D10" s="26"/>
      <c r="E10" s="6" t="s">
        <v>287</v>
      </c>
      <c r="F10" s="16">
        <v>0</v>
      </c>
      <c r="G10" s="16">
        <v>0</v>
      </c>
      <c r="H10" s="17"/>
    </row>
    <row r="11" spans="2:8" ht="19.5" customHeight="1" x14ac:dyDescent="0.3">
      <c r="B11" s="6"/>
      <c r="C11" s="6"/>
      <c r="D11" s="26"/>
      <c r="E11" s="6" t="s">
        <v>287</v>
      </c>
      <c r="F11" s="16">
        <v>0</v>
      </c>
      <c r="G11" s="16">
        <v>0</v>
      </c>
      <c r="H11" s="17"/>
    </row>
    <row r="12" spans="2:8" ht="19.5" customHeight="1" x14ac:dyDescent="0.3">
      <c r="B12" s="6"/>
      <c r="C12" s="6"/>
      <c r="D12" s="26"/>
      <c r="E12" s="6" t="s">
        <v>287</v>
      </c>
      <c r="F12" s="16">
        <v>0</v>
      </c>
      <c r="G12" s="16">
        <v>0</v>
      </c>
      <c r="H12" s="17"/>
    </row>
    <row r="13" spans="2:8" ht="19.5" customHeight="1" x14ac:dyDescent="0.3">
      <c r="B13" s="6"/>
      <c r="C13" s="6"/>
      <c r="D13" s="26"/>
      <c r="E13" s="6" t="s">
        <v>287</v>
      </c>
      <c r="F13" s="16">
        <v>0</v>
      </c>
      <c r="G13" s="16">
        <v>0</v>
      </c>
      <c r="H13" s="17"/>
    </row>
    <row r="14" spans="2:8" ht="19.5" customHeight="1" x14ac:dyDescent="0.3">
      <c r="B14" s="6"/>
      <c r="C14" s="6"/>
      <c r="D14" s="26"/>
      <c r="E14" s="6" t="s">
        <v>287</v>
      </c>
      <c r="F14" s="16">
        <v>0</v>
      </c>
      <c r="G14" s="16">
        <v>0</v>
      </c>
      <c r="H14" s="17"/>
    </row>
    <row r="16" spans="2:8" ht="48" customHeight="1" x14ac:dyDescent="0.3">
      <c r="B16" s="60" t="s">
        <v>148</v>
      </c>
      <c r="C16" s="60"/>
      <c r="D16" s="60"/>
      <c r="E16" s="60"/>
      <c r="F16" s="60"/>
      <c r="G16" s="60"/>
      <c r="H16" s="60"/>
    </row>
    <row r="17" spans="2:8" ht="18" customHeight="1" x14ac:dyDescent="0.3">
      <c r="B17" s="61" t="s">
        <v>149</v>
      </c>
      <c r="C17" s="61"/>
      <c r="D17" s="61"/>
      <c r="E17" s="61"/>
      <c r="F17" s="61"/>
      <c r="G17" s="61"/>
      <c r="H17" s="61"/>
    </row>
  </sheetData>
  <mergeCells count="4">
    <mergeCell ref="B1:H1"/>
    <mergeCell ref="B2:H2"/>
    <mergeCell ref="B16:H16"/>
    <mergeCell ref="B17:H1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</sheetPr>
  <dimension ref="B1:J29"/>
  <sheetViews>
    <sheetView showGridLines="0" topLeftCell="A20" zoomScale="89" zoomScaleNormal="150" workbookViewId="0">
      <selection activeCell="J10" sqref="J10"/>
    </sheetView>
  </sheetViews>
  <sheetFormatPr defaultColWidth="8.6640625" defaultRowHeight="14.4" x14ac:dyDescent="0.3"/>
  <cols>
    <col min="1" max="1" width="3" customWidth="1"/>
    <col min="2" max="2" width="19.5546875" bestFit="1" customWidth="1"/>
    <col min="3" max="4" width="10.77734375" customWidth="1"/>
    <col min="5" max="5" width="9.77734375" customWidth="1"/>
    <col min="6" max="6" width="9.88671875" customWidth="1"/>
    <col min="7" max="7" width="9.77734375" customWidth="1"/>
    <col min="8" max="8" width="9.88671875" customWidth="1"/>
    <col min="9" max="9" width="4.5546875" customWidth="1"/>
    <col min="10" max="10" width="59.44140625" customWidth="1"/>
  </cols>
  <sheetData>
    <row r="1" spans="2:10" ht="36" customHeight="1" x14ac:dyDescent="0.3">
      <c r="B1" s="55" t="s">
        <v>150</v>
      </c>
      <c r="C1" s="55"/>
      <c r="D1" s="55"/>
      <c r="E1" s="55"/>
      <c r="F1" s="55"/>
      <c r="G1" s="55"/>
      <c r="H1" s="55"/>
      <c r="I1" s="55"/>
      <c r="J1" s="55"/>
    </row>
    <row r="2" spans="2:10" ht="19.5" customHeight="1" x14ac:dyDescent="0.3">
      <c r="B2" s="56" t="s">
        <v>151</v>
      </c>
      <c r="C2" s="56"/>
      <c r="D2" s="56"/>
      <c r="E2" s="56"/>
      <c r="F2" s="56"/>
      <c r="G2" s="56"/>
      <c r="H2" s="56"/>
      <c r="I2" s="56"/>
      <c r="J2" s="56"/>
    </row>
    <row r="4" spans="2:10" ht="27.75" customHeight="1" x14ac:dyDescent="0.3">
      <c r="B4" s="13" t="s">
        <v>152</v>
      </c>
      <c r="C4" s="13" t="s">
        <v>153</v>
      </c>
      <c r="D4" s="13" t="s">
        <v>154</v>
      </c>
      <c r="E4" s="13" t="s">
        <v>155</v>
      </c>
      <c r="F4" s="13" t="s">
        <v>156</v>
      </c>
      <c r="G4" s="13" t="s">
        <v>157</v>
      </c>
      <c r="H4" s="13" t="s">
        <v>158</v>
      </c>
      <c r="I4" s="13" t="s">
        <v>144</v>
      </c>
      <c r="J4" s="13" t="s">
        <v>147</v>
      </c>
    </row>
    <row r="5" spans="2:10" ht="27.6" x14ac:dyDescent="0.3">
      <c r="B5" s="6" t="s">
        <v>288</v>
      </c>
      <c r="C5" s="6" t="s">
        <v>278</v>
      </c>
      <c r="D5" s="6" t="s">
        <v>282</v>
      </c>
      <c r="E5" s="16">
        <v>7.9920000000000009</v>
      </c>
      <c r="F5" s="16">
        <v>0.35768142249770823</v>
      </c>
      <c r="G5" s="16">
        <v>7.9920000000000009</v>
      </c>
      <c r="H5" s="16">
        <v>0.35768142249770823</v>
      </c>
      <c r="I5" s="6" t="s">
        <v>280</v>
      </c>
      <c r="J5" s="17" t="s">
        <v>289</v>
      </c>
    </row>
    <row r="6" spans="2:10" ht="27.6" x14ac:dyDescent="0.3">
      <c r="B6" s="6" t="s">
        <v>290</v>
      </c>
      <c r="C6" s="6" t="s">
        <v>278</v>
      </c>
      <c r="D6" s="6" t="s">
        <v>271</v>
      </c>
      <c r="E6" s="16">
        <v>7.9920000000000009</v>
      </c>
      <c r="F6" s="16">
        <v>0.35768142249770823</v>
      </c>
      <c r="G6" s="16">
        <v>7.9920000000000009</v>
      </c>
      <c r="H6" s="16">
        <v>0.35768142249770823</v>
      </c>
      <c r="I6" s="6" t="s">
        <v>280</v>
      </c>
      <c r="J6" s="17" t="s">
        <v>289</v>
      </c>
    </row>
    <row r="7" spans="2:10" ht="27.6" x14ac:dyDescent="0.3">
      <c r="B7" s="6" t="s">
        <v>291</v>
      </c>
      <c r="C7" s="6" t="s">
        <v>271</v>
      </c>
      <c r="D7" s="6" t="s">
        <v>292</v>
      </c>
      <c r="E7" s="16">
        <v>15.46875</v>
      </c>
      <c r="F7" s="16">
        <v>1.9375</v>
      </c>
      <c r="G7" s="16">
        <v>15.46875</v>
      </c>
      <c r="H7" s="16">
        <v>1.9375</v>
      </c>
      <c r="I7" s="6" t="s">
        <v>287</v>
      </c>
      <c r="J7" s="17" t="s">
        <v>293</v>
      </c>
    </row>
    <row r="8" spans="2:10" ht="18.75" customHeight="1" x14ac:dyDescent="0.3">
      <c r="B8" s="6"/>
      <c r="C8" s="6"/>
      <c r="D8" s="6"/>
      <c r="E8" s="16">
        <v>0</v>
      </c>
      <c r="F8" s="16">
        <v>0</v>
      </c>
      <c r="G8" s="16">
        <v>0</v>
      </c>
      <c r="H8" s="16">
        <v>0</v>
      </c>
      <c r="I8" s="6" t="s">
        <v>287</v>
      </c>
      <c r="J8" s="17"/>
    </row>
    <row r="9" spans="2:10" ht="18.75" customHeight="1" x14ac:dyDescent="0.3">
      <c r="B9" s="6"/>
      <c r="C9" s="6"/>
      <c r="D9" s="6"/>
      <c r="E9" s="16">
        <v>0</v>
      </c>
      <c r="F9" s="16">
        <v>0</v>
      </c>
      <c r="G9" s="16">
        <v>0</v>
      </c>
      <c r="H9" s="16">
        <v>0</v>
      </c>
      <c r="I9" s="6" t="s">
        <v>287</v>
      </c>
      <c r="J9" s="17"/>
    </row>
    <row r="10" spans="2:10" ht="18.75" customHeight="1" x14ac:dyDescent="0.3">
      <c r="B10" s="6"/>
      <c r="C10" s="6"/>
      <c r="D10" s="6"/>
      <c r="E10" s="16">
        <v>0</v>
      </c>
      <c r="F10" s="16">
        <v>0</v>
      </c>
      <c r="G10" s="16">
        <v>0</v>
      </c>
      <c r="H10" s="16">
        <v>0</v>
      </c>
      <c r="I10" s="6" t="s">
        <v>287</v>
      </c>
      <c r="J10" s="17"/>
    </row>
    <row r="11" spans="2:10" ht="18.75" customHeight="1" x14ac:dyDescent="0.3">
      <c r="B11" s="6"/>
      <c r="C11" s="6"/>
      <c r="D11" s="6"/>
      <c r="E11" s="16">
        <v>0</v>
      </c>
      <c r="F11" s="16">
        <v>0</v>
      </c>
      <c r="G11" s="16">
        <v>0</v>
      </c>
      <c r="H11" s="16">
        <v>0</v>
      </c>
      <c r="I11" s="6" t="s">
        <v>287</v>
      </c>
      <c r="J11" s="17"/>
    </row>
    <row r="12" spans="2:10" ht="18.75" customHeight="1" x14ac:dyDescent="0.3">
      <c r="B12" s="6"/>
      <c r="C12" s="6"/>
      <c r="D12" s="6"/>
      <c r="E12" s="16">
        <v>0</v>
      </c>
      <c r="F12" s="16">
        <v>0</v>
      </c>
      <c r="G12" s="16">
        <v>0</v>
      </c>
      <c r="H12" s="16">
        <v>0</v>
      </c>
      <c r="I12" s="6" t="s">
        <v>287</v>
      </c>
      <c r="J12" s="17"/>
    </row>
    <row r="13" spans="2:10" ht="18.75" customHeight="1" x14ac:dyDescent="0.3">
      <c r="B13" s="6"/>
      <c r="C13" s="6"/>
      <c r="D13" s="6"/>
      <c r="E13" s="16">
        <v>0</v>
      </c>
      <c r="F13" s="16">
        <v>0</v>
      </c>
      <c r="G13" s="16">
        <v>0</v>
      </c>
      <c r="H13" s="16">
        <v>0</v>
      </c>
      <c r="I13" s="6" t="s">
        <v>287</v>
      </c>
      <c r="J13" s="17"/>
    </row>
    <row r="14" spans="2:10" ht="18.75" customHeight="1" x14ac:dyDescent="0.3">
      <c r="B14" s="6"/>
      <c r="C14" s="6"/>
      <c r="D14" s="6"/>
      <c r="E14" s="16">
        <v>0</v>
      </c>
      <c r="F14" s="16">
        <v>0</v>
      </c>
      <c r="G14" s="16">
        <v>0</v>
      </c>
      <c r="H14" s="16">
        <v>0</v>
      </c>
      <c r="I14" s="6" t="s">
        <v>287</v>
      </c>
      <c r="J14" s="17"/>
    </row>
    <row r="15" spans="2:10" ht="18.75" customHeight="1" x14ac:dyDescent="0.3">
      <c r="B15" s="6"/>
      <c r="C15" s="6"/>
      <c r="D15" s="6"/>
      <c r="E15" s="16">
        <v>0</v>
      </c>
      <c r="F15" s="16">
        <v>0</v>
      </c>
      <c r="G15" s="16">
        <v>0</v>
      </c>
      <c r="H15" s="16">
        <v>0</v>
      </c>
      <c r="I15" s="6" t="s">
        <v>287</v>
      </c>
      <c r="J15" s="17"/>
    </row>
    <row r="16" spans="2:10" ht="18.75" customHeight="1" x14ac:dyDescent="0.3">
      <c r="B16" s="6"/>
      <c r="C16" s="6"/>
      <c r="D16" s="6"/>
      <c r="E16" s="16">
        <v>0</v>
      </c>
      <c r="F16" s="16">
        <v>0</v>
      </c>
      <c r="G16" s="16">
        <v>0</v>
      </c>
      <c r="H16" s="16">
        <v>0</v>
      </c>
      <c r="I16" s="6" t="s">
        <v>287</v>
      </c>
      <c r="J16" s="17"/>
    </row>
    <row r="17" spans="2:10" ht="18.75" customHeight="1" x14ac:dyDescent="0.3">
      <c r="B17" s="6"/>
      <c r="C17" s="6"/>
      <c r="D17" s="6"/>
      <c r="E17" s="16">
        <v>0</v>
      </c>
      <c r="F17" s="16">
        <v>0</v>
      </c>
      <c r="G17" s="16">
        <v>0</v>
      </c>
      <c r="H17" s="16">
        <v>0</v>
      </c>
      <c r="I17" s="6" t="s">
        <v>287</v>
      </c>
      <c r="J17" s="17"/>
    </row>
    <row r="18" spans="2:10" ht="18.75" customHeight="1" x14ac:dyDescent="0.3">
      <c r="B18" s="6"/>
      <c r="C18" s="6"/>
      <c r="D18" s="6"/>
      <c r="E18" s="16">
        <v>0</v>
      </c>
      <c r="F18" s="16">
        <v>0</v>
      </c>
      <c r="G18" s="16">
        <v>0</v>
      </c>
      <c r="H18" s="16">
        <v>0</v>
      </c>
      <c r="I18" s="6" t="s">
        <v>287</v>
      </c>
      <c r="J18" s="17"/>
    </row>
    <row r="19" spans="2:10" ht="18.75" customHeight="1" x14ac:dyDescent="0.3">
      <c r="B19" s="6"/>
      <c r="C19" s="6"/>
      <c r="D19" s="6"/>
      <c r="E19" s="16">
        <v>0</v>
      </c>
      <c r="F19" s="16">
        <v>0</v>
      </c>
      <c r="G19" s="16">
        <v>0</v>
      </c>
      <c r="H19" s="16">
        <v>0</v>
      </c>
      <c r="I19" s="6" t="s">
        <v>287</v>
      </c>
      <c r="J19" s="17"/>
    </row>
    <row r="20" spans="2:10" ht="18.75" customHeight="1" x14ac:dyDescent="0.3">
      <c r="B20" s="6"/>
      <c r="C20" s="6"/>
      <c r="D20" s="6"/>
      <c r="E20" s="16">
        <v>0</v>
      </c>
      <c r="F20" s="16">
        <v>0</v>
      </c>
      <c r="G20" s="16">
        <v>0</v>
      </c>
      <c r="H20" s="16">
        <v>0</v>
      </c>
      <c r="I20" s="6" t="s">
        <v>287</v>
      </c>
      <c r="J20" s="17"/>
    </row>
    <row r="21" spans="2:10" ht="18.75" customHeight="1" x14ac:dyDescent="0.3">
      <c r="B21" s="6"/>
      <c r="C21" s="6"/>
      <c r="D21" s="6"/>
      <c r="E21" s="16">
        <v>0</v>
      </c>
      <c r="F21" s="16">
        <v>0</v>
      </c>
      <c r="G21" s="16">
        <v>0</v>
      </c>
      <c r="H21" s="16">
        <v>0</v>
      </c>
      <c r="I21" s="6" t="s">
        <v>287</v>
      </c>
      <c r="J21" s="17"/>
    </row>
    <row r="22" spans="2:10" ht="18.75" customHeight="1" x14ac:dyDescent="0.3">
      <c r="B22" s="6"/>
      <c r="C22" s="6"/>
      <c r="D22" s="6"/>
      <c r="E22" s="16">
        <v>0</v>
      </c>
      <c r="F22" s="16">
        <v>0</v>
      </c>
      <c r="G22" s="16">
        <v>0</v>
      </c>
      <c r="H22" s="16">
        <v>0</v>
      </c>
      <c r="I22" s="6" t="s">
        <v>287</v>
      </c>
      <c r="J22" s="17"/>
    </row>
    <row r="23" spans="2:10" ht="18.75" customHeight="1" x14ac:dyDescent="0.3">
      <c r="B23" s="6"/>
      <c r="C23" s="6"/>
      <c r="D23" s="6"/>
      <c r="E23" s="16">
        <v>0</v>
      </c>
      <c r="F23" s="16">
        <v>0</v>
      </c>
      <c r="G23" s="16">
        <v>0</v>
      </c>
      <c r="H23" s="16">
        <v>0</v>
      </c>
      <c r="I23" s="6" t="s">
        <v>287</v>
      </c>
      <c r="J23" s="17"/>
    </row>
    <row r="24" spans="2:10" ht="18.75" customHeight="1" x14ac:dyDescent="0.3">
      <c r="B24" s="6"/>
      <c r="C24" s="6"/>
      <c r="D24" s="6"/>
      <c r="E24" s="16">
        <v>0</v>
      </c>
      <c r="F24" s="16">
        <v>0</v>
      </c>
      <c r="G24" s="16">
        <v>0</v>
      </c>
      <c r="H24" s="16">
        <v>0</v>
      </c>
      <c r="I24" s="6" t="s">
        <v>287</v>
      </c>
      <c r="J24" s="17"/>
    </row>
    <row r="26" spans="2:10" ht="48" customHeight="1" x14ac:dyDescent="0.3">
      <c r="B26" s="60" t="s">
        <v>159</v>
      </c>
      <c r="C26" s="60"/>
      <c r="D26" s="60"/>
      <c r="E26" s="60"/>
      <c r="F26" s="60"/>
      <c r="G26" s="60"/>
      <c r="H26" s="60"/>
      <c r="I26" s="60"/>
      <c r="J26" s="60"/>
    </row>
    <row r="27" spans="2:10" ht="18" customHeight="1" x14ac:dyDescent="0.3">
      <c r="B27" s="62" t="s">
        <v>160</v>
      </c>
      <c r="C27" s="62"/>
      <c r="D27" s="62"/>
      <c r="E27" s="62"/>
      <c r="F27" s="62"/>
      <c r="G27" s="62"/>
      <c r="H27" s="62"/>
      <c r="I27" s="62"/>
      <c r="J27" s="62"/>
    </row>
    <row r="28" spans="2:10" ht="18" customHeight="1" x14ac:dyDescent="0.3">
      <c r="B28" s="63" t="s">
        <v>161</v>
      </c>
      <c r="C28" s="63"/>
      <c r="D28" s="63"/>
      <c r="E28" s="63"/>
      <c r="F28" s="63"/>
      <c r="G28" s="63"/>
      <c r="H28" s="63"/>
      <c r="I28" s="63"/>
      <c r="J28" s="63"/>
    </row>
    <row r="29" spans="2:10" ht="18" customHeight="1" x14ac:dyDescent="0.3">
      <c r="B29" s="62" t="s">
        <v>162</v>
      </c>
      <c r="C29" s="62"/>
      <c r="D29" s="62"/>
      <c r="E29" s="62"/>
      <c r="F29" s="62"/>
      <c r="G29" s="62"/>
      <c r="H29" s="62"/>
      <c r="I29" s="62"/>
      <c r="J29" s="62"/>
    </row>
  </sheetData>
  <mergeCells count="6">
    <mergeCell ref="B29:J29"/>
    <mergeCell ref="B1:J1"/>
    <mergeCell ref="B2:J2"/>
    <mergeCell ref="B26:J26"/>
    <mergeCell ref="B27:J27"/>
    <mergeCell ref="B28:J2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</sheetPr>
  <dimension ref="B1:I24"/>
  <sheetViews>
    <sheetView showGridLines="0" workbookViewId="0">
      <selection activeCell="J7" sqref="J7"/>
    </sheetView>
  </sheetViews>
  <sheetFormatPr defaultColWidth="8.6640625" defaultRowHeight="14.4" x14ac:dyDescent="0.3"/>
  <cols>
    <col min="1" max="1" width="3" customWidth="1"/>
    <col min="2" max="2" width="12.5546875" bestFit="1" customWidth="1"/>
    <col min="3" max="3" width="28.21875" customWidth="1"/>
    <col min="4" max="4" width="6.77734375" customWidth="1"/>
    <col min="5" max="5" width="7.6640625" customWidth="1"/>
    <col min="6" max="6" width="6.77734375" customWidth="1"/>
    <col min="7" max="7" width="7.6640625" customWidth="1"/>
    <col min="8" max="8" width="4.5546875" customWidth="1"/>
    <col min="9" max="9" width="43.88671875" customWidth="1"/>
  </cols>
  <sheetData>
    <row r="1" spans="2:9" ht="36" customHeight="1" x14ac:dyDescent="0.3">
      <c r="B1" s="55" t="s">
        <v>163</v>
      </c>
      <c r="C1" s="55"/>
      <c r="D1" s="55"/>
      <c r="E1" s="55"/>
      <c r="F1" s="55"/>
      <c r="G1" s="55"/>
      <c r="H1" s="55"/>
      <c r="I1" s="55"/>
    </row>
    <row r="2" spans="2:9" ht="19.5" customHeight="1" x14ac:dyDescent="0.3">
      <c r="B2" s="56" t="s">
        <v>164</v>
      </c>
      <c r="C2" s="56"/>
      <c r="D2" s="56"/>
      <c r="E2" s="56"/>
      <c r="F2" s="56"/>
      <c r="G2" s="56"/>
      <c r="H2" s="56"/>
      <c r="I2" s="56"/>
    </row>
    <row r="4" spans="2:9" ht="27.75" customHeight="1" x14ac:dyDescent="0.3">
      <c r="B4" s="13" t="s">
        <v>165</v>
      </c>
      <c r="C4" s="13" t="s">
        <v>166</v>
      </c>
      <c r="D4" s="13" t="s">
        <v>155</v>
      </c>
      <c r="E4" s="13" t="s">
        <v>156</v>
      </c>
      <c r="F4" s="13" t="s">
        <v>157</v>
      </c>
      <c r="G4" s="13" t="s">
        <v>158</v>
      </c>
      <c r="H4" s="13" t="s">
        <v>144</v>
      </c>
      <c r="I4" s="13" t="s">
        <v>147</v>
      </c>
    </row>
    <row r="5" spans="2:9" x14ac:dyDescent="0.3">
      <c r="B5" s="6" t="s">
        <v>278</v>
      </c>
      <c r="C5" s="17" t="s">
        <v>294</v>
      </c>
      <c r="D5" s="82">
        <v>0</v>
      </c>
      <c r="E5" s="82">
        <v>0.2</v>
      </c>
      <c r="F5" s="82">
        <v>0</v>
      </c>
      <c r="G5" s="82">
        <v>0.2</v>
      </c>
      <c r="H5" s="6" t="s">
        <v>280</v>
      </c>
      <c r="I5" s="17" t="s">
        <v>295</v>
      </c>
    </row>
    <row r="6" spans="2:9" ht="27.6" x14ac:dyDescent="0.3">
      <c r="B6" s="6" t="s">
        <v>271</v>
      </c>
      <c r="C6" s="17" t="s">
        <v>296</v>
      </c>
      <c r="D6" s="82">
        <v>0</v>
      </c>
      <c r="E6" s="82">
        <v>24</v>
      </c>
      <c r="F6" s="82">
        <v>0</v>
      </c>
      <c r="G6" s="82">
        <v>24</v>
      </c>
      <c r="H6" s="6" t="s">
        <v>280</v>
      </c>
      <c r="I6" s="17" t="s">
        <v>297</v>
      </c>
    </row>
    <row r="7" spans="2:9" ht="18.75" customHeight="1" x14ac:dyDescent="0.3">
      <c r="B7" s="6"/>
      <c r="C7" s="17"/>
      <c r="D7" s="82">
        <v>0</v>
      </c>
      <c r="E7" s="82">
        <v>0</v>
      </c>
      <c r="F7" s="82">
        <v>0</v>
      </c>
      <c r="G7" s="82">
        <v>0</v>
      </c>
      <c r="H7" s="6" t="s">
        <v>287</v>
      </c>
      <c r="I7" s="17"/>
    </row>
    <row r="8" spans="2:9" ht="18.75" customHeight="1" x14ac:dyDescent="0.3">
      <c r="B8" s="6"/>
      <c r="C8" s="17"/>
      <c r="D8" s="82">
        <v>0</v>
      </c>
      <c r="E8" s="82">
        <v>0</v>
      </c>
      <c r="F8" s="82">
        <v>0</v>
      </c>
      <c r="G8" s="82">
        <v>0</v>
      </c>
      <c r="H8" s="6" t="s">
        <v>287</v>
      </c>
      <c r="I8" s="17"/>
    </row>
    <row r="9" spans="2:9" ht="18.75" customHeight="1" x14ac:dyDescent="0.3">
      <c r="B9" s="6"/>
      <c r="C9" s="17"/>
      <c r="D9" s="82">
        <v>0</v>
      </c>
      <c r="E9" s="82">
        <v>0</v>
      </c>
      <c r="F9" s="82">
        <v>0</v>
      </c>
      <c r="G9" s="82">
        <v>0</v>
      </c>
      <c r="H9" s="6" t="s">
        <v>287</v>
      </c>
      <c r="I9" s="17"/>
    </row>
    <row r="10" spans="2:9" ht="18.75" customHeight="1" x14ac:dyDescent="0.3">
      <c r="B10" s="6"/>
      <c r="C10" s="17"/>
      <c r="D10" s="82">
        <v>0</v>
      </c>
      <c r="E10" s="82">
        <v>0</v>
      </c>
      <c r="F10" s="82">
        <v>0</v>
      </c>
      <c r="G10" s="82">
        <v>0</v>
      </c>
      <c r="H10" s="6" t="s">
        <v>287</v>
      </c>
      <c r="I10" s="17"/>
    </row>
    <row r="11" spans="2:9" ht="18.75" customHeight="1" x14ac:dyDescent="0.3">
      <c r="B11" s="6"/>
      <c r="C11" s="17"/>
      <c r="D11" s="82">
        <v>0</v>
      </c>
      <c r="E11" s="82">
        <v>0</v>
      </c>
      <c r="F11" s="82">
        <v>0</v>
      </c>
      <c r="G11" s="82">
        <v>0</v>
      </c>
      <c r="H11" s="6" t="s">
        <v>287</v>
      </c>
      <c r="I11" s="17"/>
    </row>
    <row r="12" spans="2:9" ht="18.75" customHeight="1" x14ac:dyDescent="0.3">
      <c r="B12" s="6"/>
      <c r="C12" s="17"/>
      <c r="D12" s="82">
        <v>0</v>
      </c>
      <c r="E12" s="82">
        <v>0</v>
      </c>
      <c r="F12" s="82">
        <v>0</v>
      </c>
      <c r="G12" s="82">
        <v>0</v>
      </c>
      <c r="H12" s="6" t="s">
        <v>287</v>
      </c>
      <c r="I12" s="17"/>
    </row>
    <row r="13" spans="2:9" ht="18.75" customHeight="1" x14ac:dyDescent="0.3">
      <c r="B13" s="6"/>
      <c r="C13" s="17"/>
      <c r="D13" s="82">
        <v>0</v>
      </c>
      <c r="E13" s="82">
        <v>0</v>
      </c>
      <c r="F13" s="82">
        <v>0</v>
      </c>
      <c r="G13" s="82">
        <v>0</v>
      </c>
      <c r="H13" s="6" t="s">
        <v>287</v>
      </c>
      <c r="I13" s="17"/>
    </row>
    <row r="14" spans="2:9" ht="18.75" customHeight="1" x14ac:dyDescent="0.3">
      <c r="B14" s="6"/>
      <c r="C14" s="17"/>
      <c r="D14" s="82">
        <v>0</v>
      </c>
      <c r="E14" s="82">
        <v>0</v>
      </c>
      <c r="F14" s="82">
        <v>0</v>
      </c>
      <c r="G14" s="82">
        <v>0</v>
      </c>
      <c r="H14" s="6" t="s">
        <v>287</v>
      </c>
      <c r="I14" s="17"/>
    </row>
    <row r="15" spans="2:9" ht="18.75" customHeight="1" x14ac:dyDescent="0.3">
      <c r="B15" s="6"/>
      <c r="C15" s="17"/>
      <c r="D15" s="82">
        <v>0</v>
      </c>
      <c r="E15" s="82">
        <v>0</v>
      </c>
      <c r="F15" s="82">
        <v>0</v>
      </c>
      <c r="G15" s="82">
        <v>0</v>
      </c>
      <c r="H15" s="6" t="s">
        <v>287</v>
      </c>
      <c r="I15" s="17"/>
    </row>
    <row r="16" spans="2:9" ht="18.75" customHeight="1" x14ac:dyDescent="0.3">
      <c r="B16" s="6"/>
      <c r="C16" s="17"/>
      <c r="D16" s="82">
        <v>0</v>
      </c>
      <c r="E16" s="82">
        <v>0</v>
      </c>
      <c r="F16" s="82">
        <v>0</v>
      </c>
      <c r="G16" s="82">
        <v>0</v>
      </c>
      <c r="H16" s="6" t="s">
        <v>287</v>
      </c>
      <c r="I16" s="17"/>
    </row>
    <row r="17" spans="2:9" ht="18.75" customHeight="1" x14ac:dyDescent="0.3">
      <c r="B17" s="6"/>
      <c r="C17" s="17"/>
      <c r="D17" s="82">
        <v>0</v>
      </c>
      <c r="E17" s="82">
        <v>0</v>
      </c>
      <c r="F17" s="82">
        <v>0</v>
      </c>
      <c r="G17" s="82">
        <v>0</v>
      </c>
      <c r="H17" s="6" t="s">
        <v>287</v>
      </c>
      <c r="I17" s="17"/>
    </row>
    <row r="18" spans="2:9" ht="18.75" customHeight="1" x14ac:dyDescent="0.3">
      <c r="B18" s="6"/>
      <c r="C18" s="17"/>
      <c r="D18" s="82">
        <v>0</v>
      </c>
      <c r="E18" s="82">
        <v>0</v>
      </c>
      <c r="F18" s="82">
        <v>0</v>
      </c>
      <c r="G18" s="82">
        <v>0</v>
      </c>
      <c r="H18" s="6" t="s">
        <v>287</v>
      </c>
      <c r="I18" s="17"/>
    </row>
    <row r="19" spans="2:9" ht="18.75" customHeight="1" x14ac:dyDescent="0.3">
      <c r="B19" s="6"/>
      <c r="C19" s="17"/>
      <c r="D19" s="82">
        <v>0</v>
      </c>
      <c r="E19" s="82">
        <v>0</v>
      </c>
      <c r="F19" s="82">
        <v>0</v>
      </c>
      <c r="G19" s="82">
        <v>0</v>
      </c>
      <c r="H19" s="6" t="s">
        <v>287</v>
      </c>
      <c r="I19" s="17"/>
    </row>
    <row r="21" spans="2:9" ht="48" customHeight="1" x14ac:dyDescent="0.3">
      <c r="B21" s="60" t="s">
        <v>167</v>
      </c>
      <c r="C21" s="60"/>
      <c r="D21" s="60"/>
      <c r="E21" s="60"/>
      <c r="F21" s="60"/>
      <c r="G21" s="60"/>
      <c r="H21" s="60"/>
      <c r="I21" s="60"/>
    </row>
    <row r="22" spans="2:9" ht="18" customHeight="1" x14ac:dyDescent="0.3">
      <c r="B22" s="62" t="s">
        <v>168</v>
      </c>
      <c r="C22" s="62"/>
      <c r="D22" s="62"/>
      <c r="E22" s="62"/>
      <c r="F22" s="62"/>
      <c r="G22" s="62"/>
      <c r="H22" s="62"/>
      <c r="I22" s="62"/>
    </row>
    <row r="23" spans="2:9" ht="18" customHeight="1" x14ac:dyDescent="0.3">
      <c r="B23" s="63" t="s">
        <v>169</v>
      </c>
      <c r="C23" s="63"/>
      <c r="D23" s="63"/>
      <c r="E23" s="63"/>
      <c r="F23" s="63"/>
      <c r="G23" s="63"/>
      <c r="H23" s="63"/>
      <c r="I23" s="63"/>
    </row>
    <row r="24" spans="2:9" ht="18" customHeight="1" x14ac:dyDescent="0.3">
      <c r="B24" s="62" t="s">
        <v>170</v>
      </c>
      <c r="C24" s="62"/>
      <c r="D24" s="62"/>
      <c r="E24" s="62"/>
      <c r="F24" s="62"/>
      <c r="G24" s="62"/>
      <c r="H24" s="62"/>
      <c r="I24" s="62"/>
    </row>
  </sheetData>
  <mergeCells count="6">
    <mergeCell ref="B24:I24"/>
    <mergeCell ref="B1:I1"/>
    <mergeCell ref="B2:I2"/>
    <mergeCell ref="B21:I21"/>
    <mergeCell ref="B22:I22"/>
    <mergeCell ref="B23:I2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B1:M16"/>
  <sheetViews>
    <sheetView showGridLines="0" topLeftCell="B1" workbookViewId="0">
      <selection activeCell="P10" sqref="P10"/>
    </sheetView>
  </sheetViews>
  <sheetFormatPr defaultColWidth="8.6640625" defaultRowHeight="14.4" x14ac:dyDescent="0.3"/>
  <cols>
    <col min="1" max="1" width="3" customWidth="1"/>
    <col min="2" max="2" width="12.21875" bestFit="1" customWidth="1"/>
    <col min="3" max="3" width="7.6640625" customWidth="1"/>
    <col min="4" max="4" width="7.44140625" customWidth="1"/>
    <col min="5" max="6" width="8.44140625" customWidth="1"/>
    <col min="7" max="7" width="7.77734375" customWidth="1"/>
    <col min="8" max="8" width="7.6640625" customWidth="1"/>
    <col min="9" max="11" width="8.44140625" customWidth="1"/>
    <col min="12" max="12" width="11.6640625" customWidth="1"/>
    <col min="13" max="13" width="42.5546875" bestFit="1" customWidth="1"/>
  </cols>
  <sheetData>
    <row r="1" spans="2:13" ht="36" customHeight="1" x14ac:dyDescent="0.3">
      <c r="B1" s="55" t="s">
        <v>171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2:13" ht="19.5" customHeight="1" x14ac:dyDescent="0.3">
      <c r="B2" s="56" t="s">
        <v>298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4" spans="2:13" ht="30" customHeight="1" x14ac:dyDescent="0.3">
      <c r="B4" s="13" t="s">
        <v>141</v>
      </c>
      <c r="C4" s="13" t="s">
        <v>143</v>
      </c>
      <c r="D4" s="13" t="s">
        <v>172</v>
      </c>
      <c r="E4" s="13" t="s">
        <v>173</v>
      </c>
      <c r="F4" s="13" t="s">
        <v>174</v>
      </c>
      <c r="G4" s="13" t="s">
        <v>175</v>
      </c>
      <c r="H4" s="13" t="s">
        <v>176</v>
      </c>
      <c r="I4" s="13" t="s">
        <v>177</v>
      </c>
      <c r="J4" s="13" t="s">
        <v>178</v>
      </c>
      <c r="K4" s="13" t="s">
        <v>179</v>
      </c>
      <c r="L4" s="13" t="s">
        <v>180</v>
      </c>
      <c r="M4" s="13" t="s">
        <v>147</v>
      </c>
    </row>
    <row r="5" spans="2:13" ht="19.5" customHeight="1" x14ac:dyDescent="0.3">
      <c r="B5" s="18" t="str">
        <f>Buses!B5</f>
        <v>BUS_22KV</v>
      </c>
      <c r="C5" s="84">
        <f>Buses!D5</f>
        <v>22</v>
      </c>
      <c r="D5" s="28">
        <f>IFERROR(Parámetros!$C$4/(SQRT(3)*C5),"")</f>
        <v>2.6243194054073897</v>
      </c>
      <c r="E5" s="85">
        <f>Modelo_Matricial!C24</f>
        <v>4.7931501073902806E-4</v>
      </c>
      <c r="F5" s="85">
        <f>Modelo_Matricial!D24</f>
        <v>0.19852716900215842</v>
      </c>
      <c r="G5" s="83">
        <f t="shared" ref="G5:G14" si="0">E5</f>
        <v>4.7931501073902806E-4</v>
      </c>
      <c r="H5" s="83">
        <f t="shared" ref="H5:H14" si="1">F5</f>
        <v>0.19852716900215842</v>
      </c>
      <c r="I5" s="85">
        <f>Modelo_Matricial!C52</f>
        <v>4.7931501073902806E-4</v>
      </c>
      <c r="J5" s="85">
        <f>Modelo_Matricial!D52</f>
        <v>0.19852716900215842</v>
      </c>
      <c r="K5" s="86">
        <f t="shared" ref="K5:K14" si="2">IFERROR(SQRT(E5^2+F5^2),"")</f>
        <v>0.19852774761954836</v>
      </c>
      <c r="L5" s="86">
        <f t="shared" ref="L5:L14" si="3">IFERROR(IF(E5=0,999,ABS(F5/E5)),"")</f>
        <v>414.18934219493957</v>
      </c>
      <c r="M5" s="18" t="s">
        <v>299</v>
      </c>
    </row>
    <row r="6" spans="2:13" ht="19.5" customHeight="1" x14ac:dyDescent="0.3">
      <c r="B6" s="18" t="str">
        <f>Buses!B6</f>
        <v>BARRA1_400V</v>
      </c>
      <c r="C6" s="84">
        <f>Buses!D6</f>
        <v>0.4</v>
      </c>
      <c r="D6" s="28">
        <f>IFERROR(Parámetros!$C$4/(SQRT(3)*C6),"")</f>
        <v>144.33756729740645</v>
      </c>
      <c r="E6" s="85">
        <f>Modelo_Matricial!C25</f>
        <v>7.9924793150107396</v>
      </c>
      <c r="F6" s="85">
        <f>Modelo_Matricial!D25</f>
        <v>0.55620859149986668</v>
      </c>
      <c r="G6" s="83">
        <f t="shared" si="0"/>
        <v>7.9924793150107396</v>
      </c>
      <c r="H6" s="83">
        <f t="shared" si="1"/>
        <v>0.55620859149986668</v>
      </c>
      <c r="I6" s="85">
        <f>Modelo_Matricial!C53</f>
        <v>7.9924793150107396</v>
      </c>
      <c r="J6" s="85">
        <f>Modelo_Matricial!D53</f>
        <v>0.55620859149986668</v>
      </c>
      <c r="K6" s="86">
        <f t="shared" si="2"/>
        <v>8.0118096331685766</v>
      </c>
      <c r="L6" s="86">
        <f t="shared" si="3"/>
        <v>6.9591495902309924E-2</v>
      </c>
      <c r="M6" s="18" t="s">
        <v>299</v>
      </c>
    </row>
    <row r="7" spans="2:13" ht="19.5" customHeight="1" x14ac:dyDescent="0.3">
      <c r="B7" s="18" t="str">
        <f>Buses!B7</f>
        <v>BARRA2_400V</v>
      </c>
      <c r="C7" s="84">
        <f>Buses!D7</f>
        <v>0.4</v>
      </c>
      <c r="D7" s="28">
        <f>IFERROR(Parámetros!$C$4/(SQRT(3)*C7),"")</f>
        <v>144.33756729740645</v>
      </c>
      <c r="E7" s="85">
        <f>Modelo_Matricial!C26</f>
        <v>6.9021361546420232</v>
      </c>
      <c r="F7" s="85">
        <f>Modelo_Matricial!D26</f>
        <v>2.7912336310808117</v>
      </c>
      <c r="G7" s="83">
        <f t="shared" si="0"/>
        <v>6.9021361546420232</v>
      </c>
      <c r="H7" s="83">
        <f t="shared" si="1"/>
        <v>2.7912336310808117</v>
      </c>
      <c r="I7" s="85">
        <f>Modelo_Matricial!C54</f>
        <v>6.9021361546420232</v>
      </c>
      <c r="J7" s="85">
        <f>Modelo_Matricial!D54</f>
        <v>2.7912336310808117</v>
      </c>
      <c r="K7" s="86">
        <f t="shared" si="2"/>
        <v>7.445164113738068</v>
      </c>
      <c r="L7" s="86">
        <f t="shared" si="3"/>
        <v>0.4044014155246084</v>
      </c>
      <c r="M7" s="18" t="s">
        <v>299</v>
      </c>
    </row>
    <row r="8" spans="2:13" ht="19.5" customHeight="1" x14ac:dyDescent="0.3">
      <c r="B8" s="18"/>
      <c r="C8" s="20"/>
      <c r="D8" s="28" t="str">
        <f>IFERROR(Parámetros!$C$4/(SQRT(3)*C8),"")</f>
        <v/>
      </c>
      <c r="E8" s="85">
        <v>0</v>
      </c>
      <c r="F8" s="85">
        <v>0</v>
      </c>
      <c r="G8" s="83">
        <f t="shared" si="0"/>
        <v>0</v>
      </c>
      <c r="H8" s="83">
        <f t="shared" si="1"/>
        <v>0</v>
      </c>
      <c r="I8" s="85">
        <v>0</v>
      </c>
      <c r="J8" s="85">
        <v>0</v>
      </c>
      <c r="K8" s="86">
        <f t="shared" si="2"/>
        <v>0</v>
      </c>
      <c r="L8" s="86">
        <f t="shared" si="3"/>
        <v>999</v>
      </c>
      <c r="M8" s="18"/>
    </row>
    <row r="9" spans="2:13" ht="19.5" customHeight="1" x14ac:dyDescent="0.3">
      <c r="B9" s="18"/>
      <c r="C9" s="20"/>
      <c r="D9" s="28" t="str">
        <f>IFERROR(Parámetros!$C$4/(SQRT(3)*C9),"")</f>
        <v/>
      </c>
      <c r="E9" s="85">
        <v>0</v>
      </c>
      <c r="F9" s="85">
        <v>0</v>
      </c>
      <c r="G9" s="83">
        <f t="shared" si="0"/>
        <v>0</v>
      </c>
      <c r="H9" s="83">
        <f t="shared" si="1"/>
        <v>0</v>
      </c>
      <c r="I9" s="85">
        <v>0</v>
      </c>
      <c r="J9" s="85">
        <v>0</v>
      </c>
      <c r="K9" s="86">
        <f t="shared" si="2"/>
        <v>0</v>
      </c>
      <c r="L9" s="86">
        <f t="shared" si="3"/>
        <v>999</v>
      </c>
      <c r="M9" s="18"/>
    </row>
    <row r="10" spans="2:13" ht="19.5" customHeight="1" x14ac:dyDescent="0.3">
      <c r="B10" s="18"/>
      <c r="C10" s="20"/>
      <c r="D10" s="28" t="str">
        <f>IFERROR(Parámetros!$C$4/(SQRT(3)*C10),"")</f>
        <v/>
      </c>
      <c r="E10" s="85">
        <v>0</v>
      </c>
      <c r="F10" s="85">
        <v>0</v>
      </c>
      <c r="G10" s="83">
        <f t="shared" si="0"/>
        <v>0</v>
      </c>
      <c r="H10" s="83">
        <f t="shared" si="1"/>
        <v>0</v>
      </c>
      <c r="I10" s="85">
        <v>0</v>
      </c>
      <c r="J10" s="85">
        <v>0</v>
      </c>
      <c r="K10" s="86">
        <f t="shared" si="2"/>
        <v>0</v>
      </c>
      <c r="L10" s="86">
        <f t="shared" si="3"/>
        <v>999</v>
      </c>
      <c r="M10" s="18"/>
    </row>
    <row r="11" spans="2:13" ht="19.5" customHeight="1" x14ac:dyDescent="0.3">
      <c r="B11" s="18"/>
      <c r="C11" s="20"/>
      <c r="D11" s="28" t="str">
        <f>IFERROR(Parámetros!$C$4/(SQRT(3)*C11),"")</f>
        <v/>
      </c>
      <c r="E11" s="85">
        <v>0</v>
      </c>
      <c r="F11" s="85">
        <v>0</v>
      </c>
      <c r="G11" s="83">
        <f t="shared" si="0"/>
        <v>0</v>
      </c>
      <c r="H11" s="83">
        <f t="shared" si="1"/>
        <v>0</v>
      </c>
      <c r="I11" s="85">
        <v>0</v>
      </c>
      <c r="J11" s="85">
        <v>0</v>
      </c>
      <c r="K11" s="86">
        <f t="shared" si="2"/>
        <v>0</v>
      </c>
      <c r="L11" s="86">
        <f t="shared" si="3"/>
        <v>999</v>
      </c>
      <c r="M11" s="18"/>
    </row>
    <row r="12" spans="2:13" ht="19.5" customHeight="1" x14ac:dyDescent="0.3">
      <c r="B12" s="18"/>
      <c r="C12" s="20"/>
      <c r="D12" s="28" t="str">
        <f>IFERROR(Parámetros!$C$4/(SQRT(3)*C12),"")</f>
        <v/>
      </c>
      <c r="E12" s="85">
        <v>0</v>
      </c>
      <c r="F12" s="85">
        <v>0</v>
      </c>
      <c r="G12" s="83">
        <f t="shared" si="0"/>
        <v>0</v>
      </c>
      <c r="H12" s="83">
        <f t="shared" si="1"/>
        <v>0</v>
      </c>
      <c r="I12" s="85">
        <v>0</v>
      </c>
      <c r="J12" s="85">
        <v>0</v>
      </c>
      <c r="K12" s="86">
        <f t="shared" si="2"/>
        <v>0</v>
      </c>
      <c r="L12" s="86">
        <f t="shared" si="3"/>
        <v>999</v>
      </c>
      <c r="M12" s="18"/>
    </row>
    <row r="13" spans="2:13" ht="19.5" customHeight="1" x14ac:dyDescent="0.3">
      <c r="B13" s="18"/>
      <c r="C13" s="20"/>
      <c r="D13" s="28" t="str">
        <f>IFERROR(Parámetros!$C$4/(SQRT(3)*C13),"")</f>
        <v/>
      </c>
      <c r="E13" s="85">
        <v>0</v>
      </c>
      <c r="F13" s="85">
        <v>0</v>
      </c>
      <c r="G13" s="83">
        <f t="shared" si="0"/>
        <v>0</v>
      </c>
      <c r="H13" s="83">
        <f t="shared" si="1"/>
        <v>0</v>
      </c>
      <c r="I13" s="85">
        <v>0</v>
      </c>
      <c r="J13" s="85">
        <v>0</v>
      </c>
      <c r="K13" s="86">
        <f t="shared" si="2"/>
        <v>0</v>
      </c>
      <c r="L13" s="86">
        <f t="shared" si="3"/>
        <v>999</v>
      </c>
      <c r="M13" s="18"/>
    </row>
    <row r="14" spans="2:13" ht="19.5" customHeight="1" x14ac:dyDescent="0.3">
      <c r="B14" s="18"/>
      <c r="C14" s="20"/>
      <c r="D14" s="28" t="str">
        <f>IFERROR(Parámetros!$C$4/(SQRT(3)*C14),"")</f>
        <v/>
      </c>
      <c r="E14" s="85">
        <v>0</v>
      </c>
      <c r="F14" s="85">
        <v>0</v>
      </c>
      <c r="G14" s="83">
        <f t="shared" si="0"/>
        <v>0</v>
      </c>
      <c r="H14" s="83">
        <f t="shared" si="1"/>
        <v>0</v>
      </c>
      <c r="I14" s="85">
        <v>0</v>
      </c>
      <c r="J14" s="85">
        <v>0</v>
      </c>
      <c r="K14" s="86">
        <f t="shared" si="2"/>
        <v>0</v>
      </c>
      <c r="L14" s="86">
        <f t="shared" si="3"/>
        <v>999</v>
      </c>
      <c r="M14" s="18"/>
    </row>
    <row r="16" spans="2:13" ht="54" customHeight="1" x14ac:dyDescent="0.3">
      <c r="B16" s="60" t="s">
        <v>181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</row>
  </sheetData>
  <mergeCells count="3">
    <mergeCell ref="B1:M1"/>
    <mergeCell ref="B2:M2"/>
    <mergeCell ref="B16:M1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375623"/>
  </sheetPr>
  <dimension ref="B1:Q19"/>
  <sheetViews>
    <sheetView showGridLines="0" topLeftCell="A8" workbookViewId="0">
      <selection activeCell="T3" sqref="T3"/>
    </sheetView>
  </sheetViews>
  <sheetFormatPr defaultColWidth="8.6640625" defaultRowHeight="14.4" x14ac:dyDescent="0.3"/>
  <cols>
    <col min="1" max="1" width="3" customWidth="1"/>
    <col min="2" max="2" width="12.21875" bestFit="1" customWidth="1"/>
    <col min="3" max="3" width="4.44140625" bestFit="1" customWidth="1"/>
    <col min="4" max="4" width="7.5546875" bestFit="1" customWidth="1"/>
    <col min="5" max="5" width="6.88671875" bestFit="1" customWidth="1"/>
    <col min="6" max="6" width="6.77734375" bestFit="1" customWidth="1"/>
    <col min="7" max="7" width="7.5546875" bestFit="1" customWidth="1"/>
    <col min="8" max="10" width="6.5546875" bestFit="1" customWidth="1"/>
    <col min="11" max="11" width="7.33203125" bestFit="1" customWidth="1"/>
    <col min="12" max="12" width="4.5546875" bestFit="1" customWidth="1"/>
    <col min="13" max="13" width="4.77734375" bestFit="1" customWidth="1"/>
    <col min="14" max="14" width="4.6640625" bestFit="1" customWidth="1"/>
    <col min="15" max="15" width="6.33203125" bestFit="1" customWidth="1"/>
    <col min="16" max="16" width="4.77734375" bestFit="1" customWidth="1"/>
    <col min="17" max="17" width="4.6640625" bestFit="1" customWidth="1"/>
  </cols>
  <sheetData>
    <row r="1" spans="2:17" ht="36" customHeight="1" x14ac:dyDescent="0.3">
      <c r="B1" s="55" t="s">
        <v>182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</row>
    <row r="2" spans="2:17" ht="19.5" customHeight="1" x14ac:dyDescent="0.3">
      <c r="B2" s="56" t="s">
        <v>183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4" spans="2:17" ht="36" customHeight="1" x14ac:dyDescent="0.3">
      <c r="B4" s="13" t="s">
        <v>141</v>
      </c>
      <c r="C4" s="13" t="s">
        <v>129</v>
      </c>
      <c r="D4" s="13" t="s">
        <v>184</v>
      </c>
      <c r="E4" s="13" t="s">
        <v>185</v>
      </c>
      <c r="F4" s="13" t="s">
        <v>186</v>
      </c>
      <c r="G4" s="13" t="s">
        <v>187</v>
      </c>
      <c r="H4" s="13" t="s">
        <v>188</v>
      </c>
      <c r="I4" s="13" t="s">
        <v>189</v>
      </c>
      <c r="J4" s="13" t="s">
        <v>190</v>
      </c>
      <c r="K4" s="13" t="s">
        <v>191</v>
      </c>
      <c r="L4" s="13" t="s">
        <v>192</v>
      </c>
      <c r="M4" s="13" t="s">
        <v>193</v>
      </c>
      <c r="N4" s="13" t="s">
        <v>194</v>
      </c>
      <c r="O4" s="13" t="s">
        <v>195</v>
      </c>
      <c r="P4" s="13" t="s">
        <v>196</v>
      </c>
      <c r="Q4" s="13" t="s">
        <v>197</v>
      </c>
    </row>
    <row r="5" spans="2:17" ht="19.5" customHeight="1" x14ac:dyDescent="0.3">
      <c r="B5" s="19" t="str">
        <f>Zth_Buses!B5</f>
        <v>BUS_22KV</v>
      </c>
      <c r="C5" s="88">
        <f>IFERROR(IF(Zth_Buses!C5&gt;0,Zth_Buses!C5,""),"")</f>
        <v>22</v>
      </c>
      <c r="D5" s="88">
        <f>IFERROR(IF(Zth_Buses!C5&gt;0,Zth_Buses!D5,""),"")</f>
        <v>2.6243194054073897</v>
      </c>
      <c r="E5" s="29">
        <f>IFERROR(IF(Zth_Buses!C5&gt;0,Parámetros!$C$7*Zth_Buses!D5/MAX(SQRT(Zth_Buses!E5^2+Zth_Buses!F5^2),1E-30),""),"")</f>
        <v>13.218904847681765</v>
      </c>
      <c r="F5" s="29">
        <f>IFERROR(IF(Zth_Buses!C5&gt;0,SQRT(2)*E5*(1+EXP(-PI()/MAX(IF(Zth_Buses!E5=0,999,ABS(Zth_Buses!F5/Zth_Buses!E5)),0.001))),""),"")</f>
        <v>37.247450259358821</v>
      </c>
      <c r="G5" s="84">
        <f>IFERROR(IF(Zth_Buses!C5&gt;0,IF(Zth_Buses!E5=0,999,ABS(Zth_Buses!F5/Zth_Buses!E5)),""),"")</f>
        <v>414.18934219493957</v>
      </c>
      <c r="H5" s="29">
        <f>IFERROR(IF(Zth_Buses!C5&gt;0,3*Parámetros!$C$7*Zth_Buses!D5/MAX(SQRT((Zth_Buses!E5+Zth_Buses!G5+Zth_Buses!I5)^2+(Zth_Buses!F5+Zth_Buses!H5+Zth_Buses!J5)^2),1E-30),""),"")</f>
        <v>13.218904847681767</v>
      </c>
      <c r="I5" s="29">
        <f>IFERROR(IF(Zth_Buses!C5&gt;0,SQRT(3)*Parámetros!$C$7*Zth_Buses!D5/MAX(SQRT((Zth_Buses!E5+Zth_Buses!G5)^2+(Zth_Buses!F5+Zth_Buses!H5)^2),1E-30),""),"")</f>
        <v>11.447907408301672</v>
      </c>
      <c r="J5" s="29">
        <f>IFERROR(IF(Zth_Buses!C5&gt;0,IF(MAX(SQRT((Zth_Buses!G5+Zth_Buses!I5)^2+(Zth_Buses!H5+Zth_Buses!J5)^2),1E-30)=0,0,SQRT(3)*(Parámetros!$C$7*Zth_Buses!D5/MAX(SQRT((Zth_Buses!E5+(((Zth_Buses!G5*Zth_Buses!I5-Zth_Buses!H5*Zth_Buses!J5)*(Zth_Buses!G5+Zth_Buses!I5)+(Zth_Buses!G5*Zth_Buses!J5+Zth_Buses!H5*Zth_Buses!I5)*(Zth_Buses!H5+Zth_Buses!J5))/MAX((Zth_Buses!G5+Zth_Buses!I5)^2+(Zth_Buses!H5+Zth_Buses!J5)^2,1E-30)))^2+(Zth_Buses!F5+(((Zth_Buses!G5*Zth_Buses!J5+Zth_Buses!H5*Zth_Buses!I5)*(Zth_Buses!G5+Zth_Buses!I5)-(Zth_Buses!G5*Zth_Buses!I5-Zth_Buses!H5*Zth_Buses!J5)*(Zth_Buses!H5+Zth_Buses!J5))/MAX((Zth_Buses!G5+Zth_Buses!I5)^2+(Zth_Buses!H5+Zth_Buses!J5)^2,1E-30)))^2),1E-30))*(SQRT(Zth_Buses!G5^2+Zth_Buses!H5^2))/MAX(SQRT((Zth_Buses!G5+Zth_Buses!I5)^2+(Zth_Buses!H5+Zth_Buses!J5)^2),1E-30)),""),"")</f>
        <v>7.6319382722011175</v>
      </c>
      <c r="K5" s="29">
        <f>IFERROR(IF(Zth_Buses!C5&gt;0,MAX(E5,H5,I5,J5),""),"")</f>
        <v>13.218904847681767</v>
      </c>
      <c r="L5" s="87" t="str">
        <f>IFERROR(IF(Zth_Buses!C5&gt;0,IF(K5=E5,"3F",IF(K5=H5,"L-G",IF(K5=I5,"L-L","L-L-G"))),""),"")</f>
        <v>3F</v>
      </c>
      <c r="M5" s="84">
        <f>IFERROR(IF(Zth_Buses!C5&gt;0,Zth_Buses!E5,""),"")</f>
        <v>4.7931501073902806E-4</v>
      </c>
      <c r="N5" s="84">
        <f>IFERROR(IF(Zth_Buses!C5&gt;0,Zth_Buses!F5,""),"")</f>
        <v>0.19852716900215842</v>
      </c>
      <c r="O5" s="84">
        <f>IFERROR(IF(Zth_Buses!C5&gt;0,SQRT(Zth_Buses!E5^2+Zth_Buses!F5^2),""),"")</f>
        <v>0.19852774761954836</v>
      </c>
      <c r="P5" s="84">
        <f>IFERROR(IF(Zth_Buses!C5&gt;0,Zth_Buses!I5,""),"")</f>
        <v>4.7931501073902806E-4</v>
      </c>
      <c r="Q5" s="84">
        <f>IFERROR(IF(Zth_Buses!C5&gt;0,Zth_Buses!J5,""),"")</f>
        <v>0.19852716900215842</v>
      </c>
    </row>
    <row r="6" spans="2:17" ht="19.5" customHeight="1" x14ac:dyDescent="0.3">
      <c r="B6" s="19" t="str">
        <f>Zth_Buses!B6</f>
        <v>BARRA1_400V</v>
      </c>
      <c r="C6" s="88">
        <f>IFERROR(IF(Zth_Buses!C6&gt;0,Zth_Buses!C6,""),"")</f>
        <v>0.4</v>
      </c>
      <c r="D6" s="88">
        <f>IFERROR(IF(Zth_Buses!C6&gt;0,Zth_Buses!D6,""),"")</f>
        <v>144.33756729740645</v>
      </c>
      <c r="E6" s="29">
        <f>IFERROR(IF(Zth_Buses!C6&gt;0,Parámetros!$C$7*Zth_Buses!D6/MAX(SQRT(Zth_Buses!E6^2+Zth_Buses!F6^2),1E-30),""),"")</f>
        <v>18.015601206980079</v>
      </c>
      <c r="F6" s="29">
        <f>IFERROR(IF(Zth_Buses!C6&gt;0,SQRT(2)*E6*(1+EXP(-PI()/MAX(IF(Zth_Buses!E6=0,999,ABS(Zth_Buses!F6/Zth_Buses!E6)),0.001))),""),"")</f>
        <v>25.47790756121633</v>
      </c>
      <c r="G6" s="84">
        <f>IFERROR(IF(Zth_Buses!C6&gt;0,IF(Zth_Buses!E6=0,999,ABS(Zth_Buses!F6/Zth_Buses!E6)),""),"")</f>
        <v>6.9591495902309924E-2</v>
      </c>
      <c r="H6" s="29">
        <f>IFERROR(IF(Zth_Buses!C6&gt;0,3*Parámetros!$C$7*Zth_Buses!D6/MAX(SQRT((Zth_Buses!E6+Zth_Buses!G6+Zth_Buses!I6)^2+(Zth_Buses!F6+Zth_Buses!H6+Zth_Buses!J6)^2),1E-30),""),"")</f>
        <v>18.015601206980083</v>
      </c>
      <c r="I6" s="29">
        <f>IFERROR(IF(Zth_Buses!C6&gt;0,SQRT(3)*Parámetros!$C$7*Zth_Buses!D6/MAX(SQRT((Zth_Buses!E6+Zth_Buses!G6)^2+(Zth_Buses!F6+Zth_Buses!H6)^2),1E-30),""),"")</f>
        <v>15.601968309694344</v>
      </c>
      <c r="J6" s="29">
        <f>IFERROR(IF(Zth_Buses!C6&gt;0,IF(MAX(SQRT((Zth_Buses!G6+Zth_Buses!I6)^2+(Zth_Buses!H6+Zth_Buses!J6)^2),1E-30)=0,0,SQRT(3)*(Parámetros!$C$7*Zth_Buses!D6/MAX(SQRT((Zth_Buses!E6+(((Zth_Buses!G6*Zth_Buses!I6-Zth_Buses!H6*Zth_Buses!J6)*(Zth_Buses!G6+Zth_Buses!I6)+(Zth_Buses!G6*Zth_Buses!J6+Zth_Buses!H6*Zth_Buses!I6)*(Zth_Buses!H6+Zth_Buses!J6))/MAX((Zth_Buses!G6+Zth_Buses!I6)^2+(Zth_Buses!H6+Zth_Buses!J6)^2,1E-30)))^2+(Zth_Buses!F6+(((Zth_Buses!G6*Zth_Buses!J6+Zth_Buses!H6*Zth_Buses!I6)*(Zth_Buses!G6+Zth_Buses!I6)-(Zth_Buses!G6*Zth_Buses!I6-Zth_Buses!H6*Zth_Buses!J6)*(Zth_Buses!H6+Zth_Buses!J6))/MAX((Zth_Buses!G6+Zth_Buses!I6)^2+(Zth_Buses!H6+Zth_Buses!J6)^2,1E-30)))^2),1E-30))*(SQRT(Zth_Buses!G6^2+Zth_Buses!H6^2))/MAX(SQRT((Zth_Buses!G6+Zth_Buses!I6)^2+(Zth_Buses!H6+Zth_Buses!J6)^2),1E-30)),""),"")</f>
        <v>10.401312206462897</v>
      </c>
      <c r="K6" s="29">
        <f>IFERROR(IF(Zth_Buses!C6&gt;0,MAX(E6,H6,I6,J6),""),"")</f>
        <v>18.015601206980083</v>
      </c>
      <c r="L6" s="87" t="str">
        <f>IFERROR(IF(Zth_Buses!C6&gt;0,IF(K6=E6,"3F",IF(K6=H6,"L-G",IF(K6=I6,"L-L","L-L-G"))),""),"")</f>
        <v>3F</v>
      </c>
      <c r="M6" s="84">
        <f>IFERROR(IF(Zth_Buses!C6&gt;0,Zth_Buses!E6,""),"")</f>
        <v>7.9924793150107396</v>
      </c>
      <c r="N6" s="84">
        <f>IFERROR(IF(Zth_Buses!C6&gt;0,Zth_Buses!F6,""),"")</f>
        <v>0.55620859149986668</v>
      </c>
      <c r="O6" s="84">
        <f>IFERROR(IF(Zth_Buses!C6&gt;0,SQRT(Zth_Buses!E6^2+Zth_Buses!F6^2),""),"")</f>
        <v>8.0118096331685766</v>
      </c>
      <c r="P6" s="84">
        <f>IFERROR(IF(Zth_Buses!C6&gt;0,Zth_Buses!I6,""),"")</f>
        <v>7.9924793150107396</v>
      </c>
      <c r="Q6" s="84">
        <f>IFERROR(IF(Zth_Buses!C6&gt;0,Zth_Buses!J6,""),"")</f>
        <v>0.55620859149986668</v>
      </c>
    </row>
    <row r="7" spans="2:17" ht="19.5" customHeight="1" x14ac:dyDescent="0.3">
      <c r="B7" s="19" t="str">
        <f>Zth_Buses!B7</f>
        <v>BARRA2_400V</v>
      </c>
      <c r="C7" s="88">
        <f>IFERROR(IF(Zth_Buses!C7&gt;0,Zth_Buses!C7,""),"")</f>
        <v>0.4</v>
      </c>
      <c r="D7" s="88">
        <f>IFERROR(IF(Zth_Buses!C7&gt;0,Zth_Buses!D7,""),"")</f>
        <v>144.33756729740645</v>
      </c>
      <c r="E7" s="29">
        <f>IFERROR(IF(Zth_Buses!C7&gt;0,Parámetros!$C$7*Zth_Buses!D7/MAX(SQRT(Zth_Buses!E7^2+Zth_Buses!F7^2),1E-30),""),"")</f>
        <v>19.386754286728202</v>
      </c>
      <c r="F7" s="29">
        <f>IFERROR(IF(Zth_Buses!C7&gt;0,SQRT(2)*E7*(1+EXP(-PI()/MAX(IF(Zth_Buses!E7=0,999,ABS(Zth_Buses!F7/Zth_Buses!E7)),0.001))),""),"")</f>
        <v>27.42860403779763</v>
      </c>
      <c r="G7" s="84">
        <f>IFERROR(IF(Zth_Buses!C7&gt;0,IF(Zth_Buses!E7=0,999,ABS(Zth_Buses!F7/Zth_Buses!E7)),""),"")</f>
        <v>0.4044014155246084</v>
      </c>
      <c r="H7" s="29">
        <f>IFERROR(IF(Zth_Buses!C7&gt;0,3*Parámetros!$C$7*Zth_Buses!D7/MAX(SQRT((Zth_Buses!E7+Zth_Buses!G7+Zth_Buses!I7)^2+(Zth_Buses!F7+Zth_Buses!H7+Zth_Buses!J7)^2),1E-30),""),"")</f>
        <v>19.386754286728198</v>
      </c>
      <c r="I7" s="29">
        <f>IFERROR(IF(Zth_Buses!C7&gt;0,SQRT(3)*Parámetros!$C$7*Zth_Buses!D7/MAX(SQRT((Zth_Buses!E7+Zth_Buses!G7)^2+(Zth_Buses!F7+Zth_Buses!H7)^2),1E-30),""),"")</f>
        <v>16.789421709233487</v>
      </c>
      <c r="J7" s="29">
        <f>IFERROR(IF(Zth_Buses!C7&gt;0,IF(MAX(SQRT((Zth_Buses!G7+Zth_Buses!I7)^2+(Zth_Buses!H7+Zth_Buses!J7)^2),1E-30)=0,0,SQRT(3)*(Parámetros!$C$7*Zth_Buses!D7/MAX(SQRT((Zth_Buses!E7+(((Zth_Buses!G7*Zth_Buses!I7-Zth_Buses!H7*Zth_Buses!J7)*(Zth_Buses!G7+Zth_Buses!I7)+(Zth_Buses!G7*Zth_Buses!J7+Zth_Buses!H7*Zth_Buses!I7)*(Zth_Buses!H7+Zth_Buses!J7))/MAX((Zth_Buses!G7+Zth_Buses!I7)^2+(Zth_Buses!H7+Zth_Buses!J7)^2,1E-30)))^2+(Zth_Buses!F7+(((Zth_Buses!G7*Zth_Buses!J7+Zth_Buses!H7*Zth_Buses!I7)*(Zth_Buses!G7+Zth_Buses!I7)-(Zth_Buses!G7*Zth_Buses!I7-Zth_Buses!H7*Zth_Buses!J7)*(Zth_Buses!H7+Zth_Buses!J7))/MAX((Zth_Buses!G7+Zth_Buses!I7)^2+(Zth_Buses!H7+Zth_Buses!J7)^2,1E-30)))^2),1E-30))*(SQRT(Zth_Buses!G7^2+Zth_Buses!H7^2))/MAX(SQRT((Zth_Buses!G7+Zth_Buses!I7)^2+(Zth_Buses!H7+Zth_Buses!J7)^2),1E-30)),""),"")</f>
        <v>11.192947806155656</v>
      </c>
      <c r="K7" s="29">
        <f>IFERROR(IF(Zth_Buses!C7&gt;0,MAX(E7,H7,I7,J7),""),"")</f>
        <v>19.386754286728202</v>
      </c>
      <c r="L7" s="87" t="str">
        <f>IFERROR(IF(Zth_Buses!C7&gt;0,IF(K7=E7,"3F",IF(K7=H7,"L-G",IF(K7=I7,"L-L","L-L-G"))),""),"")</f>
        <v>3F</v>
      </c>
      <c r="M7" s="84">
        <f>IFERROR(IF(Zth_Buses!C7&gt;0,Zth_Buses!E7,""),"")</f>
        <v>6.9021361546420232</v>
      </c>
      <c r="N7" s="84">
        <f>IFERROR(IF(Zth_Buses!C7&gt;0,Zth_Buses!F7,""),"")</f>
        <v>2.7912336310808117</v>
      </c>
      <c r="O7" s="84">
        <f>IFERROR(IF(Zth_Buses!C7&gt;0,SQRT(Zth_Buses!E7^2+Zth_Buses!F7^2),""),"")</f>
        <v>7.445164113738068</v>
      </c>
      <c r="P7" s="84">
        <f>IFERROR(IF(Zth_Buses!C7&gt;0,Zth_Buses!I7,""),"")</f>
        <v>6.9021361546420232</v>
      </c>
      <c r="Q7" s="84">
        <f>IFERROR(IF(Zth_Buses!C7&gt;0,Zth_Buses!J7,""),"")</f>
        <v>2.7912336310808117</v>
      </c>
    </row>
    <row r="8" spans="2:17" ht="19.5" customHeight="1" x14ac:dyDescent="0.3">
      <c r="B8" s="19">
        <f>Zth_Buses!B8</f>
        <v>0</v>
      </c>
      <c r="C8" s="30" t="str">
        <f>IFERROR(IF(Zth_Buses!C8&gt;0,Zth_Buses!C8,""),"")</f>
        <v/>
      </c>
      <c r="D8" s="30" t="str">
        <f>IFERROR(IF(Zth_Buses!C8&gt;0,Zth_Buses!D8,""),"")</f>
        <v/>
      </c>
      <c r="E8" s="31" t="str">
        <f>IFERROR(IF(Zth_Buses!C8&gt;0,Parámetros!$C$7*Zth_Buses!D8/MAX(SQRT(Zth_Buses!E8^2+Zth_Buses!F8^2),1E-30),""),"")</f>
        <v/>
      </c>
      <c r="F8" s="31" t="str">
        <f>IFERROR(IF(Zth_Buses!C8&gt;0,SQRT(2)*E8*(1+EXP(-PI()/MAX(IF(Zth_Buses!E8=0,999,ABS(Zth_Buses!F8/Zth_Buses!E8)),0.001))),""),"")</f>
        <v/>
      </c>
      <c r="G8" s="28" t="str">
        <f>IFERROR(IF(Zth_Buses!C8&gt;0,IF(Zth_Buses!E8=0,999,ABS(Zth_Buses!F8/Zth_Buses!E8)),""),"")</f>
        <v/>
      </c>
      <c r="H8" s="31" t="str">
        <f>IFERROR(IF(Zth_Buses!C8&gt;0,3*Parámetros!$C$7*Zth_Buses!D8/MAX(SQRT((Zth_Buses!E8+Zth_Buses!G8+Zth_Buses!I8)^2+(Zth_Buses!F8+Zth_Buses!H8+Zth_Buses!J8)^2),1E-30),""),"")</f>
        <v/>
      </c>
      <c r="I8" s="31" t="str">
        <f>IFERROR(IF(Zth_Buses!C8&gt;0,SQRT(3)*Parámetros!$C$7*Zth_Buses!D8/MAX(SQRT((Zth_Buses!E8+Zth_Buses!G8)^2+(Zth_Buses!F8+Zth_Buses!H8)^2),1E-30),""),"")</f>
        <v/>
      </c>
      <c r="J8" s="31" t="str">
        <f>IFERROR(IF(Zth_Buses!C8&gt;0,IF(MAX(SQRT((Zth_Buses!G8+Zth_Buses!I8)^2+(Zth_Buses!H8+Zth_Buses!J8)^2),1E-30)=0,0,SQRT(3)*(Parámetros!$C$7*Zth_Buses!D8/MAX(SQRT((Zth_Buses!E8+(((Zth_Buses!G8*Zth_Buses!I8-Zth_Buses!H8*Zth_Buses!J8)*(Zth_Buses!G8+Zth_Buses!I8)+(Zth_Buses!G8*Zth_Buses!J8+Zth_Buses!H8*Zth_Buses!I8)*(Zth_Buses!H8+Zth_Buses!J8))/MAX((Zth_Buses!G8+Zth_Buses!I8)^2+(Zth_Buses!H8+Zth_Buses!J8)^2,1E-30)))^2+(Zth_Buses!F8+(((Zth_Buses!G8*Zth_Buses!J8+Zth_Buses!H8*Zth_Buses!I8)*(Zth_Buses!G8+Zth_Buses!I8)-(Zth_Buses!G8*Zth_Buses!I8-Zth_Buses!H8*Zth_Buses!J8)*(Zth_Buses!H8+Zth_Buses!J8))/MAX((Zth_Buses!G8+Zth_Buses!I8)^2+(Zth_Buses!H8+Zth_Buses!J8)^2,1E-30)))^2),1E-30))*(SQRT(Zth_Buses!G8^2+Zth_Buses!H8^2))/MAX(SQRT((Zth_Buses!G8+Zth_Buses!I8)^2+(Zth_Buses!H8+Zth_Buses!J8)^2),1E-30)),""),"")</f>
        <v/>
      </c>
      <c r="K8" s="31" t="str">
        <f>IFERROR(IF(Zth_Buses!C8&gt;0,MAX(E8,H8,I8,J8),""),"")</f>
        <v/>
      </c>
      <c r="L8" s="32" t="str">
        <f>IFERROR(IF(Zth_Buses!C8&gt;0,IF(K8=E8,"3F",IF(K8=H8,"L-G",IF(K8=I8,"L-L","L-L-G"))),""),"")</f>
        <v/>
      </c>
      <c r="M8" s="28" t="str">
        <f>IFERROR(IF(Zth_Buses!C8&gt;0,Zth_Buses!E8,""),"")</f>
        <v/>
      </c>
      <c r="N8" s="28" t="str">
        <f>IFERROR(IF(Zth_Buses!C8&gt;0,Zth_Buses!F8,""),"")</f>
        <v/>
      </c>
      <c r="O8" s="28" t="str">
        <f>IFERROR(IF(Zth_Buses!C8&gt;0,SQRT(Zth_Buses!E8^2+Zth_Buses!F8^2),""),"")</f>
        <v/>
      </c>
      <c r="P8" s="28" t="str">
        <f>IFERROR(IF(Zth_Buses!C8&gt;0,Zth_Buses!I8,""),"")</f>
        <v/>
      </c>
      <c r="Q8" s="28" t="str">
        <f>IFERROR(IF(Zth_Buses!C8&gt;0,Zth_Buses!J8,""),"")</f>
        <v/>
      </c>
    </row>
    <row r="9" spans="2:17" ht="19.5" customHeight="1" x14ac:dyDescent="0.3">
      <c r="B9" s="19">
        <f>Zth_Buses!B9</f>
        <v>0</v>
      </c>
      <c r="C9" s="30" t="str">
        <f>IFERROR(IF(Zth_Buses!C9&gt;0,Zth_Buses!C9,""),"")</f>
        <v/>
      </c>
      <c r="D9" s="30" t="str">
        <f>IFERROR(IF(Zth_Buses!C9&gt;0,Zth_Buses!D9,""),"")</f>
        <v/>
      </c>
      <c r="E9" s="31" t="str">
        <f>IFERROR(IF(Zth_Buses!C9&gt;0,Parámetros!$C$7*Zth_Buses!D9/MAX(SQRT(Zth_Buses!E9^2+Zth_Buses!F9^2),1E-30),""),"")</f>
        <v/>
      </c>
      <c r="F9" s="31" t="str">
        <f>IFERROR(IF(Zth_Buses!C9&gt;0,SQRT(2)*E9*(1+EXP(-PI()/MAX(IF(Zth_Buses!E9=0,999,ABS(Zth_Buses!F9/Zth_Buses!E9)),0.001))),""),"")</f>
        <v/>
      </c>
      <c r="G9" s="28" t="str">
        <f>IFERROR(IF(Zth_Buses!C9&gt;0,IF(Zth_Buses!E9=0,999,ABS(Zth_Buses!F9/Zth_Buses!E9)),""),"")</f>
        <v/>
      </c>
      <c r="H9" s="31" t="str">
        <f>IFERROR(IF(Zth_Buses!C9&gt;0,3*Parámetros!$C$7*Zth_Buses!D9/MAX(SQRT((Zth_Buses!E9+Zth_Buses!G9+Zth_Buses!I9)^2+(Zth_Buses!F9+Zth_Buses!H9+Zth_Buses!J9)^2),1E-30),""),"")</f>
        <v/>
      </c>
      <c r="I9" s="31" t="str">
        <f>IFERROR(IF(Zth_Buses!C9&gt;0,SQRT(3)*Parámetros!$C$7*Zth_Buses!D9/MAX(SQRT((Zth_Buses!E9+Zth_Buses!G9)^2+(Zth_Buses!F9+Zth_Buses!H9)^2),1E-30),""),"")</f>
        <v/>
      </c>
      <c r="J9" s="31" t="str">
        <f>IFERROR(IF(Zth_Buses!C9&gt;0,IF(MAX(SQRT((Zth_Buses!G9+Zth_Buses!I9)^2+(Zth_Buses!H9+Zth_Buses!J9)^2),1E-30)=0,0,SQRT(3)*(Parámetros!$C$7*Zth_Buses!D9/MAX(SQRT((Zth_Buses!E9+(((Zth_Buses!G9*Zth_Buses!I9-Zth_Buses!H9*Zth_Buses!J9)*(Zth_Buses!G9+Zth_Buses!I9)+(Zth_Buses!G9*Zth_Buses!J9+Zth_Buses!H9*Zth_Buses!I9)*(Zth_Buses!H9+Zth_Buses!J9))/MAX((Zth_Buses!G9+Zth_Buses!I9)^2+(Zth_Buses!H9+Zth_Buses!J9)^2,1E-30)))^2+(Zth_Buses!F9+(((Zth_Buses!G9*Zth_Buses!J9+Zth_Buses!H9*Zth_Buses!I9)*(Zth_Buses!G9+Zth_Buses!I9)-(Zth_Buses!G9*Zth_Buses!I9-Zth_Buses!H9*Zth_Buses!J9)*(Zth_Buses!H9+Zth_Buses!J9))/MAX((Zth_Buses!G9+Zth_Buses!I9)^2+(Zth_Buses!H9+Zth_Buses!J9)^2,1E-30)))^2),1E-30))*(SQRT(Zth_Buses!G9^2+Zth_Buses!H9^2))/MAX(SQRT((Zth_Buses!G9+Zth_Buses!I9)^2+(Zth_Buses!H9+Zth_Buses!J9)^2),1E-30)),""),"")</f>
        <v/>
      </c>
      <c r="K9" s="31" t="str">
        <f>IFERROR(IF(Zth_Buses!C9&gt;0,MAX(E9,H9,I9,J9),""),"")</f>
        <v/>
      </c>
      <c r="L9" s="32" t="str">
        <f>IFERROR(IF(Zth_Buses!C9&gt;0,IF(K9=E9,"3F",IF(K9=H9,"L-G",IF(K9=I9,"L-L","L-L-G"))),""),"")</f>
        <v/>
      </c>
      <c r="M9" s="28" t="str">
        <f>IFERROR(IF(Zth_Buses!C9&gt;0,Zth_Buses!E9,""),"")</f>
        <v/>
      </c>
      <c r="N9" s="28" t="str">
        <f>IFERROR(IF(Zth_Buses!C9&gt;0,Zth_Buses!F9,""),"")</f>
        <v/>
      </c>
      <c r="O9" s="28" t="str">
        <f>IFERROR(IF(Zth_Buses!C9&gt;0,SQRT(Zth_Buses!E9^2+Zth_Buses!F9^2),""),"")</f>
        <v/>
      </c>
      <c r="P9" s="28" t="str">
        <f>IFERROR(IF(Zth_Buses!C9&gt;0,Zth_Buses!I9,""),"")</f>
        <v/>
      </c>
      <c r="Q9" s="28" t="str">
        <f>IFERROR(IF(Zth_Buses!C9&gt;0,Zth_Buses!J9,""),"")</f>
        <v/>
      </c>
    </row>
    <row r="10" spans="2:17" ht="19.5" customHeight="1" x14ac:dyDescent="0.3">
      <c r="B10" s="19">
        <f>Zth_Buses!B10</f>
        <v>0</v>
      </c>
      <c r="C10" s="30" t="str">
        <f>IFERROR(IF(Zth_Buses!C10&gt;0,Zth_Buses!C10,""),"")</f>
        <v/>
      </c>
      <c r="D10" s="30" t="str">
        <f>IFERROR(IF(Zth_Buses!C10&gt;0,Zth_Buses!D10,""),"")</f>
        <v/>
      </c>
      <c r="E10" s="31" t="str">
        <f>IFERROR(IF(Zth_Buses!C10&gt;0,Parámetros!$C$7*Zth_Buses!D10/MAX(SQRT(Zth_Buses!E10^2+Zth_Buses!F10^2),1E-30),""),"")</f>
        <v/>
      </c>
      <c r="F10" s="31" t="str">
        <f>IFERROR(IF(Zth_Buses!C10&gt;0,SQRT(2)*E10*(1+EXP(-PI()/MAX(IF(Zth_Buses!E10=0,999,ABS(Zth_Buses!F10/Zth_Buses!E10)),0.001))),""),"")</f>
        <v/>
      </c>
      <c r="G10" s="28" t="str">
        <f>IFERROR(IF(Zth_Buses!C10&gt;0,IF(Zth_Buses!E10=0,999,ABS(Zth_Buses!F10/Zth_Buses!E10)),""),"")</f>
        <v/>
      </c>
      <c r="H10" s="31" t="str">
        <f>IFERROR(IF(Zth_Buses!C10&gt;0,3*Parámetros!$C$7*Zth_Buses!D10/MAX(SQRT((Zth_Buses!E10+Zth_Buses!G10+Zth_Buses!I10)^2+(Zth_Buses!F10+Zth_Buses!H10+Zth_Buses!J10)^2),1E-30),""),"")</f>
        <v/>
      </c>
      <c r="I10" s="31" t="str">
        <f>IFERROR(IF(Zth_Buses!C10&gt;0,SQRT(3)*Parámetros!$C$7*Zth_Buses!D10/MAX(SQRT((Zth_Buses!E10+Zth_Buses!G10)^2+(Zth_Buses!F10+Zth_Buses!H10)^2),1E-30),""),"")</f>
        <v/>
      </c>
      <c r="J10" s="31" t="str">
        <f>IFERROR(IF(Zth_Buses!C10&gt;0,IF(MAX(SQRT((Zth_Buses!G10+Zth_Buses!I10)^2+(Zth_Buses!H10+Zth_Buses!J10)^2),1E-30)=0,0,SQRT(3)*(Parámetros!$C$7*Zth_Buses!D10/MAX(SQRT((Zth_Buses!E10+(((Zth_Buses!G10*Zth_Buses!I10-Zth_Buses!H10*Zth_Buses!J10)*(Zth_Buses!G10+Zth_Buses!I10)+(Zth_Buses!G10*Zth_Buses!J10+Zth_Buses!H10*Zth_Buses!I10)*(Zth_Buses!H10+Zth_Buses!J10))/MAX((Zth_Buses!G10+Zth_Buses!I10)^2+(Zth_Buses!H10+Zth_Buses!J10)^2,1E-30)))^2+(Zth_Buses!F10+(((Zth_Buses!G10*Zth_Buses!J10+Zth_Buses!H10*Zth_Buses!I10)*(Zth_Buses!G10+Zth_Buses!I10)-(Zth_Buses!G10*Zth_Buses!I10-Zth_Buses!H10*Zth_Buses!J10)*(Zth_Buses!H10+Zth_Buses!J10))/MAX((Zth_Buses!G10+Zth_Buses!I10)^2+(Zth_Buses!H10+Zth_Buses!J10)^2,1E-30)))^2),1E-30))*(SQRT(Zth_Buses!G10^2+Zth_Buses!H10^2))/MAX(SQRT((Zth_Buses!G10+Zth_Buses!I10)^2+(Zth_Buses!H10+Zth_Buses!J10)^2),1E-30)),""),"")</f>
        <v/>
      </c>
      <c r="K10" s="31" t="str">
        <f>IFERROR(IF(Zth_Buses!C10&gt;0,MAX(E10,H10,I10,J10),""),"")</f>
        <v/>
      </c>
      <c r="L10" s="32" t="str">
        <f>IFERROR(IF(Zth_Buses!C10&gt;0,IF(K10=E10,"3F",IF(K10=H10,"L-G",IF(K10=I10,"L-L","L-L-G"))),""),"")</f>
        <v/>
      </c>
      <c r="M10" s="28" t="str">
        <f>IFERROR(IF(Zth_Buses!C10&gt;0,Zth_Buses!E10,""),"")</f>
        <v/>
      </c>
      <c r="N10" s="28" t="str">
        <f>IFERROR(IF(Zth_Buses!C10&gt;0,Zth_Buses!F10,""),"")</f>
        <v/>
      </c>
      <c r="O10" s="28" t="str">
        <f>IFERROR(IF(Zth_Buses!C10&gt;0,SQRT(Zth_Buses!E10^2+Zth_Buses!F10^2),""),"")</f>
        <v/>
      </c>
      <c r="P10" s="28" t="str">
        <f>IFERROR(IF(Zth_Buses!C10&gt;0,Zth_Buses!I10,""),"")</f>
        <v/>
      </c>
      <c r="Q10" s="28" t="str">
        <f>IFERROR(IF(Zth_Buses!C10&gt;0,Zth_Buses!J10,""),"")</f>
        <v/>
      </c>
    </row>
    <row r="11" spans="2:17" ht="19.5" customHeight="1" x14ac:dyDescent="0.3">
      <c r="B11" s="19">
        <f>Zth_Buses!B11</f>
        <v>0</v>
      </c>
      <c r="C11" s="30" t="str">
        <f>IFERROR(IF(Zth_Buses!C11&gt;0,Zth_Buses!C11,""),"")</f>
        <v/>
      </c>
      <c r="D11" s="30" t="str">
        <f>IFERROR(IF(Zth_Buses!C11&gt;0,Zth_Buses!D11,""),"")</f>
        <v/>
      </c>
      <c r="E11" s="31" t="str">
        <f>IFERROR(IF(Zth_Buses!C11&gt;0,Parámetros!$C$7*Zth_Buses!D11/MAX(SQRT(Zth_Buses!E11^2+Zth_Buses!F11^2),1E-30),""),"")</f>
        <v/>
      </c>
      <c r="F11" s="31" t="str">
        <f>IFERROR(IF(Zth_Buses!C11&gt;0,SQRT(2)*E11*(1+EXP(-PI()/MAX(IF(Zth_Buses!E11=0,999,ABS(Zth_Buses!F11/Zth_Buses!E11)),0.001))),""),"")</f>
        <v/>
      </c>
      <c r="G11" s="28" t="str">
        <f>IFERROR(IF(Zth_Buses!C11&gt;0,IF(Zth_Buses!E11=0,999,ABS(Zth_Buses!F11/Zth_Buses!E11)),""),"")</f>
        <v/>
      </c>
      <c r="H11" s="31" t="str">
        <f>IFERROR(IF(Zth_Buses!C11&gt;0,3*Parámetros!$C$7*Zth_Buses!D11/MAX(SQRT((Zth_Buses!E11+Zth_Buses!G11+Zth_Buses!I11)^2+(Zth_Buses!F11+Zth_Buses!H11+Zth_Buses!J11)^2),1E-30),""),"")</f>
        <v/>
      </c>
      <c r="I11" s="31" t="str">
        <f>IFERROR(IF(Zth_Buses!C11&gt;0,SQRT(3)*Parámetros!$C$7*Zth_Buses!D11/MAX(SQRT((Zth_Buses!E11+Zth_Buses!G11)^2+(Zth_Buses!F11+Zth_Buses!H11)^2),1E-30),""),"")</f>
        <v/>
      </c>
      <c r="J11" s="31" t="str">
        <f>IFERROR(IF(Zth_Buses!C11&gt;0,IF(MAX(SQRT((Zth_Buses!G11+Zth_Buses!I11)^2+(Zth_Buses!H11+Zth_Buses!J11)^2),1E-30)=0,0,SQRT(3)*(Parámetros!$C$7*Zth_Buses!D11/MAX(SQRT((Zth_Buses!E11+(((Zth_Buses!G11*Zth_Buses!I11-Zth_Buses!H11*Zth_Buses!J11)*(Zth_Buses!G11+Zth_Buses!I11)+(Zth_Buses!G11*Zth_Buses!J11+Zth_Buses!H11*Zth_Buses!I11)*(Zth_Buses!H11+Zth_Buses!J11))/MAX((Zth_Buses!G11+Zth_Buses!I11)^2+(Zth_Buses!H11+Zth_Buses!J11)^2,1E-30)))^2+(Zth_Buses!F11+(((Zth_Buses!G11*Zth_Buses!J11+Zth_Buses!H11*Zth_Buses!I11)*(Zth_Buses!G11+Zth_Buses!I11)-(Zth_Buses!G11*Zth_Buses!I11-Zth_Buses!H11*Zth_Buses!J11)*(Zth_Buses!H11+Zth_Buses!J11))/MAX((Zth_Buses!G11+Zth_Buses!I11)^2+(Zth_Buses!H11+Zth_Buses!J11)^2,1E-30)))^2),1E-30))*(SQRT(Zth_Buses!G11^2+Zth_Buses!H11^2))/MAX(SQRT((Zth_Buses!G11+Zth_Buses!I11)^2+(Zth_Buses!H11+Zth_Buses!J11)^2),1E-30)),""),"")</f>
        <v/>
      </c>
      <c r="K11" s="31" t="str">
        <f>IFERROR(IF(Zth_Buses!C11&gt;0,MAX(E11,H11,I11,J11),""),"")</f>
        <v/>
      </c>
      <c r="L11" s="32" t="str">
        <f>IFERROR(IF(Zth_Buses!C11&gt;0,IF(K11=E11,"3F",IF(K11=H11,"L-G",IF(K11=I11,"L-L","L-L-G"))),""),"")</f>
        <v/>
      </c>
      <c r="M11" s="28" t="str">
        <f>IFERROR(IF(Zth_Buses!C11&gt;0,Zth_Buses!E11,""),"")</f>
        <v/>
      </c>
      <c r="N11" s="28" t="str">
        <f>IFERROR(IF(Zth_Buses!C11&gt;0,Zth_Buses!F11,""),"")</f>
        <v/>
      </c>
      <c r="O11" s="28" t="str">
        <f>IFERROR(IF(Zth_Buses!C11&gt;0,SQRT(Zth_Buses!E11^2+Zth_Buses!F11^2),""),"")</f>
        <v/>
      </c>
      <c r="P11" s="28" t="str">
        <f>IFERROR(IF(Zth_Buses!C11&gt;0,Zth_Buses!I11,""),"")</f>
        <v/>
      </c>
      <c r="Q11" s="28" t="str">
        <f>IFERROR(IF(Zth_Buses!C11&gt;0,Zth_Buses!J11,""),"")</f>
        <v/>
      </c>
    </row>
    <row r="12" spans="2:17" ht="19.5" customHeight="1" x14ac:dyDescent="0.3">
      <c r="B12" s="19">
        <f>Zth_Buses!B12</f>
        <v>0</v>
      </c>
      <c r="C12" s="30" t="str">
        <f>IFERROR(IF(Zth_Buses!C12&gt;0,Zth_Buses!C12,""),"")</f>
        <v/>
      </c>
      <c r="D12" s="30" t="str">
        <f>IFERROR(IF(Zth_Buses!C12&gt;0,Zth_Buses!D12,""),"")</f>
        <v/>
      </c>
      <c r="E12" s="31" t="str">
        <f>IFERROR(IF(Zth_Buses!C12&gt;0,Parámetros!$C$7*Zth_Buses!D12/MAX(SQRT(Zth_Buses!E12^2+Zth_Buses!F12^2),1E-30),""),"")</f>
        <v/>
      </c>
      <c r="F12" s="31" t="str">
        <f>IFERROR(IF(Zth_Buses!C12&gt;0,SQRT(2)*E12*(1+EXP(-PI()/MAX(IF(Zth_Buses!E12=0,999,ABS(Zth_Buses!F12/Zth_Buses!E12)),0.001))),""),"")</f>
        <v/>
      </c>
      <c r="G12" s="28" t="str">
        <f>IFERROR(IF(Zth_Buses!C12&gt;0,IF(Zth_Buses!E12=0,999,ABS(Zth_Buses!F12/Zth_Buses!E12)),""),"")</f>
        <v/>
      </c>
      <c r="H12" s="31" t="str">
        <f>IFERROR(IF(Zth_Buses!C12&gt;0,3*Parámetros!$C$7*Zth_Buses!D12/MAX(SQRT((Zth_Buses!E12+Zth_Buses!G12+Zth_Buses!I12)^2+(Zth_Buses!F12+Zth_Buses!H12+Zth_Buses!J12)^2),1E-30),""),"")</f>
        <v/>
      </c>
      <c r="I12" s="31" t="str">
        <f>IFERROR(IF(Zth_Buses!C12&gt;0,SQRT(3)*Parámetros!$C$7*Zth_Buses!D12/MAX(SQRT((Zth_Buses!E12+Zth_Buses!G12)^2+(Zth_Buses!F12+Zth_Buses!H12)^2),1E-30),""),"")</f>
        <v/>
      </c>
      <c r="J12" s="31" t="str">
        <f>IFERROR(IF(Zth_Buses!C12&gt;0,IF(MAX(SQRT((Zth_Buses!G12+Zth_Buses!I12)^2+(Zth_Buses!H12+Zth_Buses!J12)^2),1E-30)=0,0,SQRT(3)*(Parámetros!$C$7*Zth_Buses!D12/MAX(SQRT((Zth_Buses!E12+(((Zth_Buses!G12*Zth_Buses!I12-Zth_Buses!H12*Zth_Buses!J12)*(Zth_Buses!G12+Zth_Buses!I12)+(Zth_Buses!G12*Zth_Buses!J12+Zth_Buses!H12*Zth_Buses!I12)*(Zth_Buses!H12+Zth_Buses!J12))/MAX((Zth_Buses!G12+Zth_Buses!I12)^2+(Zth_Buses!H12+Zth_Buses!J12)^2,1E-30)))^2+(Zth_Buses!F12+(((Zth_Buses!G12*Zth_Buses!J12+Zth_Buses!H12*Zth_Buses!I12)*(Zth_Buses!G12+Zth_Buses!I12)-(Zth_Buses!G12*Zth_Buses!I12-Zth_Buses!H12*Zth_Buses!J12)*(Zth_Buses!H12+Zth_Buses!J12))/MAX((Zth_Buses!G12+Zth_Buses!I12)^2+(Zth_Buses!H12+Zth_Buses!J12)^2,1E-30)))^2),1E-30))*(SQRT(Zth_Buses!G12^2+Zth_Buses!H12^2))/MAX(SQRT((Zth_Buses!G12+Zth_Buses!I12)^2+(Zth_Buses!H12+Zth_Buses!J12)^2),1E-30)),""),"")</f>
        <v/>
      </c>
      <c r="K12" s="31" t="str">
        <f>IFERROR(IF(Zth_Buses!C12&gt;0,MAX(E12,H12,I12,J12),""),"")</f>
        <v/>
      </c>
      <c r="L12" s="32" t="str">
        <f>IFERROR(IF(Zth_Buses!C12&gt;0,IF(K12=E12,"3F",IF(K12=H12,"L-G",IF(K12=I12,"L-L","L-L-G"))),""),"")</f>
        <v/>
      </c>
      <c r="M12" s="28" t="str">
        <f>IFERROR(IF(Zth_Buses!C12&gt;0,Zth_Buses!E12,""),"")</f>
        <v/>
      </c>
      <c r="N12" s="28" t="str">
        <f>IFERROR(IF(Zth_Buses!C12&gt;0,Zth_Buses!F12,""),"")</f>
        <v/>
      </c>
      <c r="O12" s="28" t="str">
        <f>IFERROR(IF(Zth_Buses!C12&gt;0,SQRT(Zth_Buses!E12^2+Zth_Buses!F12^2),""),"")</f>
        <v/>
      </c>
      <c r="P12" s="28" t="str">
        <f>IFERROR(IF(Zth_Buses!C12&gt;0,Zth_Buses!I12,""),"")</f>
        <v/>
      </c>
      <c r="Q12" s="28" t="str">
        <f>IFERROR(IF(Zth_Buses!C12&gt;0,Zth_Buses!J12,""),"")</f>
        <v/>
      </c>
    </row>
    <row r="13" spans="2:17" ht="19.5" customHeight="1" x14ac:dyDescent="0.3">
      <c r="B13" s="19">
        <f>Zth_Buses!B13</f>
        <v>0</v>
      </c>
      <c r="C13" s="30" t="str">
        <f>IFERROR(IF(Zth_Buses!C13&gt;0,Zth_Buses!C13,""),"")</f>
        <v/>
      </c>
      <c r="D13" s="30" t="str">
        <f>IFERROR(IF(Zth_Buses!C13&gt;0,Zth_Buses!D13,""),"")</f>
        <v/>
      </c>
      <c r="E13" s="31" t="str">
        <f>IFERROR(IF(Zth_Buses!C13&gt;0,Parámetros!$C$7*Zth_Buses!D13/MAX(SQRT(Zth_Buses!E13^2+Zth_Buses!F13^2),1E-30),""),"")</f>
        <v/>
      </c>
      <c r="F13" s="31" t="str">
        <f>IFERROR(IF(Zth_Buses!C13&gt;0,SQRT(2)*E13*(1+EXP(-PI()/MAX(IF(Zth_Buses!E13=0,999,ABS(Zth_Buses!F13/Zth_Buses!E13)),0.001))),""),"")</f>
        <v/>
      </c>
      <c r="G13" s="28" t="str">
        <f>IFERROR(IF(Zth_Buses!C13&gt;0,IF(Zth_Buses!E13=0,999,ABS(Zth_Buses!F13/Zth_Buses!E13)),""),"")</f>
        <v/>
      </c>
      <c r="H13" s="31" t="str">
        <f>IFERROR(IF(Zth_Buses!C13&gt;0,3*Parámetros!$C$7*Zth_Buses!D13/MAX(SQRT((Zth_Buses!E13+Zth_Buses!G13+Zth_Buses!I13)^2+(Zth_Buses!F13+Zth_Buses!H13+Zth_Buses!J13)^2),1E-30),""),"")</f>
        <v/>
      </c>
      <c r="I13" s="31" t="str">
        <f>IFERROR(IF(Zth_Buses!C13&gt;0,SQRT(3)*Parámetros!$C$7*Zth_Buses!D13/MAX(SQRT((Zth_Buses!E13+Zth_Buses!G13)^2+(Zth_Buses!F13+Zth_Buses!H13)^2),1E-30),""),"")</f>
        <v/>
      </c>
      <c r="J13" s="31" t="str">
        <f>IFERROR(IF(Zth_Buses!C13&gt;0,IF(MAX(SQRT((Zth_Buses!G13+Zth_Buses!I13)^2+(Zth_Buses!H13+Zth_Buses!J13)^2),1E-30)=0,0,SQRT(3)*(Parámetros!$C$7*Zth_Buses!D13/MAX(SQRT((Zth_Buses!E13+(((Zth_Buses!G13*Zth_Buses!I13-Zth_Buses!H13*Zth_Buses!J13)*(Zth_Buses!G13+Zth_Buses!I13)+(Zth_Buses!G13*Zth_Buses!J13+Zth_Buses!H13*Zth_Buses!I13)*(Zth_Buses!H13+Zth_Buses!J13))/MAX((Zth_Buses!G13+Zth_Buses!I13)^2+(Zth_Buses!H13+Zth_Buses!J13)^2,1E-30)))^2+(Zth_Buses!F13+(((Zth_Buses!G13*Zth_Buses!J13+Zth_Buses!H13*Zth_Buses!I13)*(Zth_Buses!G13+Zth_Buses!I13)-(Zth_Buses!G13*Zth_Buses!I13-Zth_Buses!H13*Zth_Buses!J13)*(Zth_Buses!H13+Zth_Buses!J13))/MAX((Zth_Buses!G13+Zth_Buses!I13)^2+(Zth_Buses!H13+Zth_Buses!J13)^2,1E-30)))^2),1E-30))*(SQRT(Zth_Buses!G13^2+Zth_Buses!H13^2))/MAX(SQRT((Zth_Buses!G13+Zth_Buses!I13)^2+(Zth_Buses!H13+Zth_Buses!J13)^2),1E-30)),""),"")</f>
        <v/>
      </c>
      <c r="K13" s="31" t="str">
        <f>IFERROR(IF(Zth_Buses!C13&gt;0,MAX(E13,H13,I13,J13),""),"")</f>
        <v/>
      </c>
      <c r="L13" s="32" t="str">
        <f>IFERROR(IF(Zth_Buses!C13&gt;0,IF(K13=E13,"3F",IF(K13=H13,"L-G",IF(K13=I13,"L-L","L-L-G"))),""),"")</f>
        <v/>
      </c>
      <c r="M13" s="28" t="str">
        <f>IFERROR(IF(Zth_Buses!C13&gt;0,Zth_Buses!E13,""),"")</f>
        <v/>
      </c>
      <c r="N13" s="28" t="str">
        <f>IFERROR(IF(Zth_Buses!C13&gt;0,Zth_Buses!F13,""),"")</f>
        <v/>
      </c>
      <c r="O13" s="28" t="str">
        <f>IFERROR(IF(Zth_Buses!C13&gt;0,SQRT(Zth_Buses!E13^2+Zth_Buses!F13^2),""),"")</f>
        <v/>
      </c>
      <c r="P13" s="28" t="str">
        <f>IFERROR(IF(Zth_Buses!C13&gt;0,Zth_Buses!I13,""),"")</f>
        <v/>
      </c>
      <c r="Q13" s="28" t="str">
        <f>IFERROR(IF(Zth_Buses!C13&gt;0,Zth_Buses!J13,""),"")</f>
        <v/>
      </c>
    </row>
    <row r="14" spans="2:17" ht="19.5" customHeight="1" x14ac:dyDescent="0.3">
      <c r="B14" s="19">
        <f>Zth_Buses!B14</f>
        <v>0</v>
      </c>
      <c r="C14" s="30" t="str">
        <f>IFERROR(IF(Zth_Buses!C14&gt;0,Zth_Buses!C14,""),"")</f>
        <v/>
      </c>
      <c r="D14" s="30" t="str">
        <f>IFERROR(IF(Zth_Buses!C14&gt;0,Zth_Buses!D14,""),"")</f>
        <v/>
      </c>
      <c r="E14" s="31" t="str">
        <f>IFERROR(IF(Zth_Buses!C14&gt;0,Parámetros!$C$7*Zth_Buses!D14/MAX(SQRT(Zth_Buses!E14^2+Zth_Buses!F14^2),1E-30),""),"")</f>
        <v/>
      </c>
      <c r="F14" s="31" t="str">
        <f>IFERROR(IF(Zth_Buses!C14&gt;0,SQRT(2)*E14*(1+EXP(-PI()/MAX(IF(Zth_Buses!E14=0,999,ABS(Zth_Buses!F14/Zth_Buses!E14)),0.001))),""),"")</f>
        <v/>
      </c>
      <c r="G14" s="28" t="str">
        <f>IFERROR(IF(Zth_Buses!C14&gt;0,IF(Zth_Buses!E14=0,999,ABS(Zth_Buses!F14/Zth_Buses!E14)),""),"")</f>
        <v/>
      </c>
      <c r="H14" s="31" t="str">
        <f>IFERROR(IF(Zth_Buses!C14&gt;0,3*Parámetros!$C$7*Zth_Buses!D14/MAX(SQRT((Zth_Buses!E14+Zth_Buses!G14+Zth_Buses!I14)^2+(Zth_Buses!F14+Zth_Buses!H14+Zth_Buses!J14)^2),1E-30),""),"")</f>
        <v/>
      </c>
      <c r="I14" s="31" t="str">
        <f>IFERROR(IF(Zth_Buses!C14&gt;0,SQRT(3)*Parámetros!$C$7*Zth_Buses!D14/MAX(SQRT((Zth_Buses!E14+Zth_Buses!G14)^2+(Zth_Buses!F14+Zth_Buses!H14)^2),1E-30),""),"")</f>
        <v/>
      </c>
      <c r="J14" s="31" t="str">
        <f>IFERROR(IF(Zth_Buses!C14&gt;0,IF(MAX(SQRT((Zth_Buses!G14+Zth_Buses!I14)^2+(Zth_Buses!H14+Zth_Buses!J14)^2),1E-30)=0,0,SQRT(3)*(Parámetros!$C$7*Zth_Buses!D14/MAX(SQRT((Zth_Buses!E14+(((Zth_Buses!G14*Zth_Buses!I14-Zth_Buses!H14*Zth_Buses!J14)*(Zth_Buses!G14+Zth_Buses!I14)+(Zth_Buses!G14*Zth_Buses!J14+Zth_Buses!H14*Zth_Buses!I14)*(Zth_Buses!H14+Zth_Buses!J14))/MAX((Zth_Buses!G14+Zth_Buses!I14)^2+(Zth_Buses!H14+Zth_Buses!J14)^2,1E-30)))^2+(Zth_Buses!F14+(((Zth_Buses!G14*Zth_Buses!J14+Zth_Buses!H14*Zth_Buses!I14)*(Zth_Buses!G14+Zth_Buses!I14)-(Zth_Buses!G14*Zth_Buses!I14-Zth_Buses!H14*Zth_Buses!J14)*(Zth_Buses!H14+Zth_Buses!J14))/MAX((Zth_Buses!G14+Zth_Buses!I14)^2+(Zth_Buses!H14+Zth_Buses!J14)^2,1E-30)))^2),1E-30))*(SQRT(Zth_Buses!G14^2+Zth_Buses!H14^2))/MAX(SQRT((Zth_Buses!G14+Zth_Buses!I14)^2+(Zth_Buses!H14+Zth_Buses!J14)^2),1E-30)),""),"")</f>
        <v/>
      </c>
      <c r="K14" s="31" t="str">
        <f>IFERROR(IF(Zth_Buses!C14&gt;0,MAX(E14,H14,I14,J14),""),"")</f>
        <v/>
      </c>
      <c r="L14" s="32" t="str">
        <f>IFERROR(IF(Zth_Buses!C14&gt;0,IF(K14=E14,"3F",IF(K14=H14,"L-G",IF(K14=I14,"L-L","L-L-G"))),""),"")</f>
        <v/>
      </c>
      <c r="M14" s="28" t="str">
        <f>IFERROR(IF(Zth_Buses!C14&gt;0,Zth_Buses!E14,""),"")</f>
        <v/>
      </c>
      <c r="N14" s="28" t="str">
        <f>IFERROR(IF(Zth_Buses!C14&gt;0,Zth_Buses!F14,""),"")</f>
        <v/>
      </c>
      <c r="O14" s="28" t="str">
        <f>IFERROR(IF(Zth_Buses!C14&gt;0,SQRT(Zth_Buses!E14^2+Zth_Buses!F14^2),""),"")</f>
        <v/>
      </c>
      <c r="P14" s="28" t="str">
        <f>IFERROR(IF(Zth_Buses!C14&gt;0,Zth_Buses!I14,""),"")</f>
        <v/>
      </c>
      <c r="Q14" s="28" t="str">
        <f>IFERROR(IF(Zth_Buses!C14&gt;0,Zth_Buses!J14,""),"")</f>
        <v/>
      </c>
    </row>
    <row r="15" spans="2:17" x14ac:dyDescent="0.3"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</row>
    <row r="16" spans="2:17" ht="18" customHeight="1" x14ac:dyDescent="0.3">
      <c r="B16" s="4" t="s">
        <v>300</v>
      </c>
      <c r="D16" s="33">
        <f t="shared" ref="D16:J16" si="0">MAX(D5:D14)</f>
        <v>144.33756729740645</v>
      </c>
      <c r="E16" s="33">
        <f t="shared" si="0"/>
        <v>19.386754286728202</v>
      </c>
      <c r="F16" s="33">
        <f t="shared" si="0"/>
        <v>37.247450259358821</v>
      </c>
      <c r="G16" s="33">
        <f t="shared" si="0"/>
        <v>414.18934219493957</v>
      </c>
      <c r="H16" s="33">
        <f t="shared" si="0"/>
        <v>19.386754286728198</v>
      </c>
      <c r="I16" s="33">
        <f t="shared" si="0"/>
        <v>16.789421709233487</v>
      </c>
      <c r="J16" s="33">
        <f t="shared" si="0"/>
        <v>11.192947806155656</v>
      </c>
      <c r="K16" s="33">
        <f>MAX(K5:K14)</f>
        <v>19.386754286728202</v>
      </c>
      <c r="L16" s="33" t="str">
        <f>IFERROR(INDEX(L5:L14,MATCH(K16,K5:K14,0)),"")</f>
        <v>3F</v>
      </c>
      <c r="M16" s="34"/>
      <c r="N16" s="34"/>
      <c r="O16" s="34"/>
      <c r="P16" s="34"/>
      <c r="Q16" s="34"/>
    </row>
    <row r="17" spans="2:17" ht="15.75" customHeight="1" x14ac:dyDescent="0.3">
      <c r="B17" s="18" t="str">
        <f>IFERROR(INDEX(B5:B14,MATCH(K16,K5:K14,0)),"")</f>
        <v>BARRA2_400V</v>
      </c>
      <c r="C17" s="18" t="str">
        <f>IFERROR(INDEX(L5:L14,MATCH(K16,K5:K14,0)),"")</f>
        <v>3F</v>
      </c>
      <c r="D17" s="34"/>
      <c r="E17" s="34"/>
      <c r="F17" s="34"/>
      <c r="G17" s="34"/>
      <c r="H17" s="34"/>
      <c r="I17" s="34"/>
      <c r="J17" s="34"/>
      <c r="K17" s="34"/>
    </row>
    <row r="19" spans="2:17" ht="99.75" customHeight="1" x14ac:dyDescent="0.3">
      <c r="B19" s="64" t="s">
        <v>198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</row>
  </sheetData>
  <mergeCells count="3">
    <mergeCell ref="B1:Q1"/>
    <mergeCell ref="B2:Q2"/>
    <mergeCell ref="B19:Q1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375623"/>
  </sheetPr>
  <dimension ref="B1:M26"/>
  <sheetViews>
    <sheetView showGridLines="0" workbookViewId="0">
      <selection activeCell="N1" sqref="N1"/>
    </sheetView>
  </sheetViews>
  <sheetFormatPr defaultColWidth="8.6640625" defaultRowHeight="14.4" x14ac:dyDescent="0.3"/>
  <cols>
    <col min="1" max="1" width="3" customWidth="1"/>
    <col min="2" max="2" width="12.21875" bestFit="1" customWidth="1"/>
    <col min="3" max="3" width="7.109375" bestFit="1" customWidth="1"/>
    <col min="4" max="4" width="8.44140625" bestFit="1" customWidth="1"/>
    <col min="5" max="5" width="11.5546875" bestFit="1" customWidth="1"/>
    <col min="6" max="6" width="12" bestFit="1" customWidth="1"/>
    <col min="7" max="7" width="13.21875" bestFit="1" customWidth="1"/>
    <col min="8" max="8" width="12.5546875" bestFit="1" customWidth="1"/>
    <col min="9" max="9" width="8.77734375" bestFit="1" customWidth="1"/>
    <col min="10" max="10" width="11" bestFit="1" customWidth="1"/>
    <col min="11" max="11" width="10.88671875" bestFit="1" customWidth="1"/>
    <col min="12" max="12" width="5" bestFit="1" customWidth="1"/>
    <col min="13" max="13" width="5.44140625" bestFit="1" customWidth="1"/>
  </cols>
  <sheetData>
    <row r="1" spans="2:13" ht="36" customHeight="1" x14ac:dyDescent="0.3">
      <c r="B1" s="55" t="s">
        <v>199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2:13" ht="19.5" customHeight="1" x14ac:dyDescent="0.3">
      <c r="B2" s="56" t="s">
        <v>200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5" spans="2:13" ht="18" customHeight="1" x14ac:dyDescent="0.3">
      <c r="B5" s="51" t="s">
        <v>201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2:13" ht="21.75" customHeight="1" x14ac:dyDescent="0.3">
      <c r="B6" s="2" t="s">
        <v>202</v>
      </c>
      <c r="C6" s="2" t="s">
        <v>8</v>
      </c>
      <c r="D6" s="2" t="s">
        <v>203</v>
      </c>
      <c r="E6" s="2" t="s">
        <v>204</v>
      </c>
      <c r="F6" s="2" t="s">
        <v>205</v>
      </c>
      <c r="G6" s="2" t="s">
        <v>206</v>
      </c>
      <c r="H6" s="2" t="s">
        <v>9</v>
      </c>
      <c r="I6" s="2" t="s">
        <v>10</v>
      </c>
      <c r="J6" s="2" t="s">
        <v>207</v>
      </c>
    </row>
    <row r="7" spans="2:13" ht="18" customHeight="1" x14ac:dyDescent="0.3">
      <c r="B7" s="31">
        <f>Parámetros!C4</f>
        <v>100</v>
      </c>
      <c r="C7" s="31">
        <f>Parámetros!C7</f>
        <v>1</v>
      </c>
      <c r="D7" s="31">
        <f>Parámetros!C6</f>
        <v>50</v>
      </c>
      <c r="E7" s="31">
        <f>COUNTIF(Buses!E5:E14,"Sí")</f>
        <v>3</v>
      </c>
      <c r="F7" s="31">
        <f>COUNTIF(Ramas!I5:I24,"Sí")</f>
        <v>2</v>
      </c>
      <c r="G7" s="31">
        <f>COUNTIF(Fuentes!H5:H19,"Sí")</f>
        <v>2</v>
      </c>
      <c r="H7" s="31" t="str">
        <f>Resultados!B17</f>
        <v>BARRA2_400V</v>
      </c>
      <c r="I7" s="31" t="str">
        <f>Resultados!C17</f>
        <v>3F</v>
      </c>
      <c r="J7" s="31">
        <f>IFERROR(MAX(Resultados!K5:K14),"—")</f>
        <v>19.386754286728202</v>
      </c>
    </row>
    <row r="9" spans="2:13" ht="18" customHeight="1" x14ac:dyDescent="0.3">
      <c r="B9" s="51" t="s">
        <v>208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</row>
    <row r="10" spans="2:13" ht="27.75" customHeight="1" x14ac:dyDescent="0.3">
      <c r="B10" s="13" t="s">
        <v>141</v>
      </c>
      <c r="C10" s="13" t="s">
        <v>143</v>
      </c>
      <c r="D10" s="13" t="s">
        <v>172</v>
      </c>
      <c r="E10" s="13" t="s">
        <v>209</v>
      </c>
      <c r="F10" s="13" t="s">
        <v>210</v>
      </c>
      <c r="G10" s="13" t="s">
        <v>187</v>
      </c>
      <c r="H10" s="13" t="s">
        <v>211</v>
      </c>
      <c r="I10" s="13" t="s">
        <v>212</v>
      </c>
      <c r="J10" s="13" t="s">
        <v>213</v>
      </c>
      <c r="K10" s="13" t="s">
        <v>214</v>
      </c>
      <c r="L10" s="13" t="s">
        <v>10</v>
      </c>
      <c r="M10" s="13" t="s">
        <v>215</v>
      </c>
    </row>
    <row r="11" spans="2:13" ht="18" customHeight="1" x14ac:dyDescent="0.3">
      <c r="B11" s="19" t="str">
        <f>IFERROR(Resultados!B5,"")</f>
        <v>BUS_22KV</v>
      </c>
      <c r="C11" s="30">
        <f>IFERROR(Resultados!C5,"")</f>
        <v>22</v>
      </c>
      <c r="D11" s="30">
        <f>IFERROR(Resultados!D5,"")</f>
        <v>2.6243194054073897</v>
      </c>
      <c r="E11" s="31">
        <f>IFERROR(Resultados!E5,"")</f>
        <v>13.218904847681765</v>
      </c>
      <c r="F11" s="31">
        <f>IFERROR(Resultados!F5,"")</f>
        <v>37.247450259358821</v>
      </c>
      <c r="G11" s="28">
        <f>IFERROR(Resultados!G5,"")</f>
        <v>414.18934219493957</v>
      </c>
      <c r="H11" s="31">
        <f>IFERROR(Resultados!H5,"")</f>
        <v>13.218904847681767</v>
      </c>
      <c r="I11" s="31">
        <f>IFERROR(Resultados!I5,"")</f>
        <v>11.447907408301672</v>
      </c>
      <c r="J11" s="31">
        <f>IFERROR(Resultados!J5,"")</f>
        <v>7.6319382722011175</v>
      </c>
      <c r="K11" s="31">
        <f>IFERROR(Resultados!K5,"")</f>
        <v>13.218904847681767</v>
      </c>
      <c r="L11" s="28" t="str">
        <f>IFERROR(Resultados!L5,"")</f>
        <v>3F</v>
      </c>
      <c r="M11" s="28">
        <f>IFERROR(Resultados!M5,"")</f>
        <v>4.7931501073902806E-4</v>
      </c>
    </row>
    <row r="12" spans="2:13" ht="18" customHeight="1" x14ac:dyDescent="0.3">
      <c r="B12" s="19" t="str">
        <f>IFERROR(Resultados!B6,"")</f>
        <v>BARRA1_400V</v>
      </c>
      <c r="C12" s="30">
        <f>IFERROR(Resultados!C6,"")</f>
        <v>0.4</v>
      </c>
      <c r="D12" s="30">
        <f>IFERROR(Resultados!D6,"")</f>
        <v>144.33756729740645</v>
      </c>
      <c r="E12" s="31">
        <f>IFERROR(Resultados!E6,"")</f>
        <v>18.015601206980079</v>
      </c>
      <c r="F12" s="31">
        <f>IFERROR(Resultados!F6,"")</f>
        <v>25.47790756121633</v>
      </c>
      <c r="G12" s="28">
        <f>IFERROR(Resultados!G6,"")</f>
        <v>6.9591495902309924E-2</v>
      </c>
      <c r="H12" s="31">
        <f>IFERROR(Resultados!H6,"")</f>
        <v>18.015601206980083</v>
      </c>
      <c r="I12" s="31">
        <f>IFERROR(Resultados!I6,"")</f>
        <v>15.601968309694344</v>
      </c>
      <c r="J12" s="31">
        <f>IFERROR(Resultados!J6,"")</f>
        <v>10.401312206462897</v>
      </c>
      <c r="K12" s="31">
        <f>IFERROR(Resultados!K6,"")</f>
        <v>18.015601206980083</v>
      </c>
      <c r="L12" s="28" t="str">
        <f>IFERROR(Resultados!L6,"")</f>
        <v>3F</v>
      </c>
      <c r="M12" s="28">
        <f>IFERROR(Resultados!M6,"")</f>
        <v>7.9924793150107396</v>
      </c>
    </row>
    <row r="13" spans="2:13" ht="18" customHeight="1" x14ac:dyDescent="0.3">
      <c r="B13" s="19" t="str">
        <f>IFERROR(Resultados!B7,"")</f>
        <v>BARRA2_400V</v>
      </c>
      <c r="C13" s="30">
        <f>IFERROR(Resultados!C7,"")</f>
        <v>0.4</v>
      </c>
      <c r="D13" s="30">
        <f>IFERROR(Resultados!D7,"")</f>
        <v>144.33756729740645</v>
      </c>
      <c r="E13" s="31">
        <f>IFERROR(Resultados!E7,"")</f>
        <v>19.386754286728202</v>
      </c>
      <c r="F13" s="31">
        <f>IFERROR(Resultados!F7,"")</f>
        <v>27.42860403779763</v>
      </c>
      <c r="G13" s="28">
        <f>IFERROR(Resultados!G7,"")</f>
        <v>0.4044014155246084</v>
      </c>
      <c r="H13" s="31">
        <f>IFERROR(Resultados!H7,"")</f>
        <v>19.386754286728198</v>
      </c>
      <c r="I13" s="31">
        <f>IFERROR(Resultados!I7,"")</f>
        <v>16.789421709233487</v>
      </c>
      <c r="J13" s="31">
        <f>IFERROR(Resultados!J7,"")</f>
        <v>11.192947806155656</v>
      </c>
      <c r="K13" s="31">
        <f>IFERROR(Resultados!K7,"")</f>
        <v>19.386754286728202</v>
      </c>
      <c r="L13" s="28" t="str">
        <f>IFERROR(Resultados!L7,"")</f>
        <v>3F</v>
      </c>
      <c r="M13" s="28">
        <f>IFERROR(Resultados!M7,"")</f>
        <v>6.9021361546420232</v>
      </c>
    </row>
    <row r="14" spans="2:13" ht="18" customHeight="1" x14ac:dyDescent="0.3">
      <c r="B14" s="19">
        <f>IFERROR(Resultados!B8,"")</f>
        <v>0</v>
      </c>
      <c r="C14" s="30" t="str">
        <f>IFERROR(Resultados!C8,"")</f>
        <v/>
      </c>
      <c r="D14" s="30" t="str">
        <f>IFERROR(Resultados!D8,"")</f>
        <v/>
      </c>
      <c r="E14" s="31" t="str">
        <f>IFERROR(Resultados!E8,"")</f>
        <v/>
      </c>
      <c r="F14" s="31" t="str">
        <f>IFERROR(Resultados!F8,"")</f>
        <v/>
      </c>
      <c r="G14" s="28" t="str">
        <f>IFERROR(Resultados!G8,"")</f>
        <v/>
      </c>
      <c r="H14" s="31" t="str">
        <f>IFERROR(Resultados!H8,"")</f>
        <v/>
      </c>
      <c r="I14" s="31" t="str">
        <f>IFERROR(Resultados!I8,"")</f>
        <v/>
      </c>
      <c r="J14" s="31" t="str">
        <f>IFERROR(Resultados!J8,"")</f>
        <v/>
      </c>
      <c r="K14" s="31" t="str">
        <f>IFERROR(Resultados!K8,"")</f>
        <v/>
      </c>
      <c r="L14" s="28" t="str">
        <f>IFERROR(Resultados!L8,"")</f>
        <v/>
      </c>
      <c r="M14" s="28" t="str">
        <f>IFERROR(Resultados!M8,"")</f>
        <v/>
      </c>
    </row>
    <row r="15" spans="2:13" ht="18" customHeight="1" x14ac:dyDescent="0.3">
      <c r="B15" s="19">
        <f>IFERROR(Resultados!B9,"")</f>
        <v>0</v>
      </c>
      <c r="C15" s="30" t="str">
        <f>IFERROR(Resultados!C9,"")</f>
        <v/>
      </c>
      <c r="D15" s="30" t="str">
        <f>IFERROR(Resultados!D9,"")</f>
        <v/>
      </c>
      <c r="E15" s="31" t="str">
        <f>IFERROR(Resultados!E9,"")</f>
        <v/>
      </c>
      <c r="F15" s="31" t="str">
        <f>IFERROR(Resultados!F9,"")</f>
        <v/>
      </c>
      <c r="G15" s="28" t="str">
        <f>IFERROR(Resultados!G9,"")</f>
        <v/>
      </c>
      <c r="H15" s="31" t="str">
        <f>IFERROR(Resultados!H9,"")</f>
        <v/>
      </c>
      <c r="I15" s="31" t="str">
        <f>IFERROR(Resultados!I9,"")</f>
        <v/>
      </c>
      <c r="J15" s="31" t="str">
        <f>IFERROR(Resultados!J9,"")</f>
        <v/>
      </c>
      <c r="K15" s="31" t="str">
        <f>IFERROR(Resultados!K9,"")</f>
        <v/>
      </c>
      <c r="L15" s="28" t="str">
        <f>IFERROR(Resultados!L9,"")</f>
        <v/>
      </c>
      <c r="M15" s="28" t="str">
        <f>IFERROR(Resultados!M9,"")</f>
        <v/>
      </c>
    </row>
    <row r="16" spans="2:13" ht="18" customHeight="1" x14ac:dyDescent="0.3">
      <c r="B16" s="19">
        <f>IFERROR(Resultados!B10,"")</f>
        <v>0</v>
      </c>
      <c r="C16" s="30" t="str">
        <f>IFERROR(Resultados!C10,"")</f>
        <v/>
      </c>
      <c r="D16" s="30" t="str">
        <f>IFERROR(Resultados!D10,"")</f>
        <v/>
      </c>
      <c r="E16" s="31" t="str">
        <f>IFERROR(Resultados!E10,"")</f>
        <v/>
      </c>
      <c r="F16" s="31" t="str">
        <f>IFERROR(Resultados!F10,"")</f>
        <v/>
      </c>
      <c r="G16" s="28" t="str">
        <f>IFERROR(Resultados!G10,"")</f>
        <v/>
      </c>
      <c r="H16" s="31" t="str">
        <f>IFERROR(Resultados!H10,"")</f>
        <v/>
      </c>
      <c r="I16" s="31" t="str">
        <f>IFERROR(Resultados!I10,"")</f>
        <v/>
      </c>
      <c r="J16" s="31" t="str">
        <f>IFERROR(Resultados!J10,"")</f>
        <v/>
      </c>
      <c r="K16" s="31" t="str">
        <f>IFERROR(Resultados!K10,"")</f>
        <v/>
      </c>
      <c r="L16" s="28" t="str">
        <f>IFERROR(Resultados!L10,"")</f>
        <v/>
      </c>
      <c r="M16" s="28" t="str">
        <f>IFERROR(Resultados!M10,"")</f>
        <v/>
      </c>
    </row>
    <row r="17" spans="2:13" ht="18" customHeight="1" x14ac:dyDescent="0.3">
      <c r="B17" s="19">
        <f>IFERROR(Resultados!B11,"")</f>
        <v>0</v>
      </c>
      <c r="C17" s="30" t="str">
        <f>IFERROR(Resultados!C11,"")</f>
        <v/>
      </c>
      <c r="D17" s="30" t="str">
        <f>IFERROR(Resultados!D11,"")</f>
        <v/>
      </c>
      <c r="E17" s="31" t="str">
        <f>IFERROR(Resultados!E11,"")</f>
        <v/>
      </c>
      <c r="F17" s="31" t="str">
        <f>IFERROR(Resultados!F11,"")</f>
        <v/>
      </c>
      <c r="G17" s="28" t="str">
        <f>IFERROR(Resultados!G11,"")</f>
        <v/>
      </c>
      <c r="H17" s="31" t="str">
        <f>IFERROR(Resultados!H11,"")</f>
        <v/>
      </c>
      <c r="I17" s="31" t="str">
        <f>IFERROR(Resultados!I11,"")</f>
        <v/>
      </c>
      <c r="J17" s="31" t="str">
        <f>IFERROR(Resultados!J11,"")</f>
        <v/>
      </c>
      <c r="K17" s="31" t="str">
        <f>IFERROR(Resultados!K11,"")</f>
        <v/>
      </c>
      <c r="L17" s="28" t="str">
        <f>IFERROR(Resultados!L11,"")</f>
        <v/>
      </c>
      <c r="M17" s="28" t="str">
        <f>IFERROR(Resultados!M11,"")</f>
        <v/>
      </c>
    </row>
    <row r="18" spans="2:13" ht="18" customHeight="1" x14ac:dyDescent="0.3">
      <c r="B18" s="19">
        <f>IFERROR(Resultados!B12,"")</f>
        <v>0</v>
      </c>
      <c r="C18" s="30" t="str">
        <f>IFERROR(Resultados!C12,"")</f>
        <v/>
      </c>
      <c r="D18" s="30" t="str">
        <f>IFERROR(Resultados!D12,"")</f>
        <v/>
      </c>
      <c r="E18" s="31" t="str">
        <f>IFERROR(Resultados!E12,"")</f>
        <v/>
      </c>
      <c r="F18" s="31" t="str">
        <f>IFERROR(Resultados!F12,"")</f>
        <v/>
      </c>
      <c r="G18" s="28" t="str">
        <f>IFERROR(Resultados!G12,"")</f>
        <v/>
      </c>
      <c r="H18" s="31" t="str">
        <f>IFERROR(Resultados!H12,"")</f>
        <v/>
      </c>
      <c r="I18" s="31" t="str">
        <f>IFERROR(Resultados!I12,"")</f>
        <v/>
      </c>
      <c r="J18" s="31" t="str">
        <f>IFERROR(Resultados!J12,"")</f>
        <v/>
      </c>
      <c r="K18" s="31" t="str">
        <f>IFERROR(Resultados!K12,"")</f>
        <v/>
      </c>
      <c r="L18" s="28" t="str">
        <f>IFERROR(Resultados!L12,"")</f>
        <v/>
      </c>
      <c r="M18" s="28" t="str">
        <f>IFERROR(Resultados!M12,"")</f>
        <v/>
      </c>
    </row>
    <row r="19" spans="2:13" ht="18" customHeight="1" x14ac:dyDescent="0.3">
      <c r="B19" s="19">
        <f>IFERROR(Resultados!B13,"")</f>
        <v>0</v>
      </c>
      <c r="C19" s="30" t="str">
        <f>IFERROR(Resultados!C13,"")</f>
        <v/>
      </c>
      <c r="D19" s="30" t="str">
        <f>IFERROR(Resultados!D13,"")</f>
        <v/>
      </c>
      <c r="E19" s="31" t="str">
        <f>IFERROR(Resultados!E13,"")</f>
        <v/>
      </c>
      <c r="F19" s="31" t="str">
        <f>IFERROR(Resultados!F13,"")</f>
        <v/>
      </c>
      <c r="G19" s="28" t="str">
        <f>IFERROR(Resultados!G13,"")</f>
        <v/>
      </c>
      <c r="H19" s="31" t="str">
        <f>IFERROR(Resultados!H13,"")</f>
        <v/>
      </c>
      <c r="I19" s="31" t="str">
        <f>IFERROR(Resultados!I13,"")</f>
        <v/>
      </c>
      <c r="J19" s="31" t="str">
        <f>IFERROR(Resultados!J13,"")</f>
        <v/>
      </c>
      <c r="K19" s="31" t="str">
        <f>IFERROR(Resultados!K13,"")</f>
        <v/>
      </c>
      <c r="L19" s="28" t="str">
        <f>IFERROR(Resultados!L13,"")</f>
        <v/>
      </c>
      <c r="M19" s="28" t="str">
        <f>IFERROR(Resultados!M13,"")</f>
        <v/>
      </c>
    </row>
    <row r="20" spans="2:13" ht="18" customHeight="1" x14ac:dyDescent="0.3">
      <c r="B20" s="19">
        <f>IFERROR(Resultados!B14,"")</f>
        <v>0</v>
      </c>
      <c r="C20" s="30" t="str">
        <f>IFERROR(Resultados!C14,"")</f>
        <v/>
      </c>
      <c r="D20" s="30" t="str">
        <f>IFERROR(Resultados!D14,"")</f>
        <v/>
      </c>
      <c r="E20" s="31" t="str">
        <f>IFERROR(Resultados!E14,"")</f>
        <v/>
      </c>
      <c r="F20" s="31" t="str">
        <f>IFERROR(Resultados!F14,"")</f>
        <v/>
      </c>
      <c r="G20" s="28" t="str">
        <f>IFERROR(Resultados!G14,"")</f>
        <v/>
      </c>
      <c r="H20" s="31" t="str">
        <f>IFERROR(Resultados!H14,"")</f>
        <v/>
      </c>
      <c r="I20" s="31" t="str">
        <f>IFERROR(Resultados!I14,"")</f>
        <v/>
      </c>
      <c r="J20" s="31" t="str">
        <f>IFERROR(Resultados!J14,"")</f>
        <v/>
      </c>
      <c r="K20" s="31" t="str">
        <f>IFERROR(Resultados!K14,"")</f>
        <v/>
      </c>
      <c r="L20" s="28" t="str">
        <f>IFERROR(Resultados!L14,"")</f>
        <v/>
      </c>
      <c r="M20" s="28" t="str">
        <f>IFERROR(Resultados!M14,"")</f>
        <v/>
      </c>
    </row>
    <row r="21" spans="2:13" x14ac:dyDescent="0.3">
      <c r="D21" s="34"/>
      <c r="E21" s="34"/>
      <c r="F21" s="34"/>
      <c r="G21" s="34"/>
      <c r="H21" s="34"/>
      <c r="I21" s="34"/>
      <c r="J21" s="34"/>
      <c r="K21" s="34"/>
    </row>
    <row r="22" spans="2:13" ht="18" customHeight="1" x14ac:dyDescent="0.3">
      <c r="B22" s="51" t="s">
        <v>216</v>
      </c>
      <c r="C22" s="51"/>
      <c r="D22" s="66"/>
      <c r="E22" s="66"/>
      <c r="F22" s="66"/>
      <c r="G22" s="66"/>
      <c r="H22" s="66"/>
      <c r="I22" s="66"/>
      <c r="J22" s="66"/>
      <c r="K22" s="66"/>
      <c r="L22" s="51"/>
      <c r="M22" s="51"/>
    </row>
    <row r="23" spans="2:13" ht="19.5" customHeight="1" x14ac:dyDescent="0.3">
      <c r="B23" s="2"/>
      <c r="C23" s="2"/>
      <c r="D23" s="39"/>
      <c r="E23" s="39" t="s">
        <v>217</v>
      </c>
      <c r="F23" s="39" t="s">
        <v>218</v>
      </c>
      <c r="G23" s="39"/>
      <c r="H23" s="39" t="s">
        <v>219</v>
      </c>
      <c r="I23" s="39" t="s">
        <v>220</v>
      </c>
      <c r="J23" s="39" t="s">
        <v>221</v>
      </c>
      <c r="K23" s="39" t="s">
        <v>222</v>
      </c>
      <c r="L23" s="2"/>
      <c r="M23" s="2"/>
    </row>
    <row r="24" spans="2:13" ht="19.5" customHeight="1" x14ac:dyDescent="0.3">
      <c r="D24" s="34"/>
      <c r="E24" s="33">
        <f>IFERROR(MAX(Resultados!E5:E14),0)</f>
        <v>19.386754286728202</v>
      </c>
      <c r="F24" s="33">
        <f>IFERROR(MAX(Resultados!F5:F14),0)</f>
        <v>37.247450259358821</v>
      </c>
      <c r="G24" s="34"/>
      <c r="H24" s="33">
        <f>IFERROR(MAX(Resultados!H5:H14),0)</f>
        <v>19.386754286728198</v>
      </c>
      <c r="I24" s="33">
        <f>IFERROR(MAX(Resultados!I5:I14),0)</f>
        <v>16.789421709233487</v>
      </c>
      <c r="J24" s="33">
        <f>IFERROR(MAX(Resultados!J5:J14),0)</f>
        <v>11.192947806155656</v>
      </c>
      <c r="K24" s="33">
        <f>IFERROR(MAX(Resultados!K5:K14),0)</f>
        <v>19.386754286728202</v>
      </c>
    </row>
    <row r="26" spans="2:13" ht="18" customHeight="1" x14ac:dyDescent="0.3">
      <c r="B26" s="65" t="s">
        <v>223</v>
      </c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</row>
  </sheetData>
  <mergeCells count="6">
    <mergeCell ref="B26:M26"/>
    <mergeCell ref="B1:M1"/>
    <mergeCell ref="B2:M2"/>
    <mergeCell ref="B5:M5"/>
    <mergeCell ref="B9:M9"/>
    <mergeCell ref="B22:M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Inicio</vt:lpstr>
      <vt:lpstr>Manual</vt:lpstr>
      <vt:lpstr>Parámetros</vt:lpstr>
      <vt:lpstr>Buses</vt:lpstr>
      <vt:lpstr>Ramas</vt:lpstr>
      <vt:lpstr>Fuentes</vt:lpstr>
      <vt:lpstr>Zth_Buses</vt:lpstr>
      <vt:lpstr>Resultados</vt:lpstr>
      <vt:lpstr>Panel</vt:lpstr>
      <vt:lpstr>Unifilar_ANSI</vt:lpstr>
      <vt:lpstr>Modelo_Matricial</vt:lpstr>
      <vt:lpstr>Protecciones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yadira bohorquez</cp:lastModifiedBy>
  <dcterms:modified xsi:type="dcterms:W3CDTF">2026-05-14T04:34:33Z</dcterms:modified>
</cp:coreProperties>
</file>