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lloa\OneDrive\Escritorio\TS\"/>
    </mc:Choice>
  </mc:AlternateContent>
  <xr:revisionPtr revIDLastSave="0" documentId="13_ncr:1_{CB9E068C-64DC-45AC-BBBF-329686AA8C76}" xr6:coauthVersionLast="47" xr6:coauthVersionMax="47" xr10:uidLastSave="{00000000-0000-0000-0000-000000000000}"/>
  <bookViews>
    <workbookView xWindow="-108" yWindow="-108" windowWidth="30936" windowHeight="12456" tabRatio="555" xr2:uid="{00000000-000D-0000-FFFF-FFFF00000000}"/>
  </bookViews>
  <sheets>
    <sheet name="Valor presente ne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AC38" i="1" l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AC36" i="1"/>
  <c r="AF38" i="1"/>
  <c r="V32" i="1" s="1"/>
  <c r="C9" i="1"/>
  <c r="C11" i="1" s="1"/>
  <c r="D10" i="1"/>
  <c r="E10" i="1"/>
  <c r="T10" i="1" s="1"/>
  <c r="E11" i="1"/>
  <c r="E12" i="1"/>
  <c r="E13" i="1"/>
  <c r="E14" i="1"/>
  <c r="E15" i="1"/>
  <c r="E16" i="1"/>
  <c r="E17" i="1"/>
  <c r="E18" i="1"/>
  <c r="E19" i="1"/>
  <c r="E9" i="1"/>
  <c r="T9" i="1" s="1"/>
  <c r="C24" i="1" l="1"/>
  <c r="C21" i="1"/>
  <c r="C23" i="1"/>
  <c r="L24" i="1" s="1"/>
  <c r="C22" i="1"/>
  <c r="L23" i="1" s="1"/>
  <c r="C20" i="1"/>
  <c r="L21" i="1" s="1"/>
  <c r="C30" i="1"/>
  <c r="C27" i="1"/>
  <c r="C32" i="1"/>
  <c r="C31" i="1"/>
  <c r="C28" i="1"/>
  <c r="C26" i="1"/>
  <c r="C33" i="1"/>
  <c r="C29" i="1"/>
  <c r="C25" i="1"/>
  <c r="L26" i="1" s="1"/>
  <c r="V28" i="1"/>
  <c r="V26" i="1"/>
  <c r="V13" i="1"/>
  <c r="V17" i="1"/>
  <c r="V14" i="1"/>
  <c r="V23" i="1"/>
  <c r="V11" i="1"/>
  <c r="V16" i="1"/>
  <c r="V24" i="1"/>
  <c r="V22" i="1"/>
  <c r="V12" i="1"/>
  <c r="V10" i="1"/>
  <c r="V9" i="1"/>
  <c r="W9" i="1" s="1"/>
  <c r="V31" i="1"/>
  <c r="V27" i="1"/>
  <c r="V25" i="1"/>
  <c r="V15" i="1"/>
  <c r="V21" i="1"/>
  <c r="V30" i="1"/>
  <c r="V29" i="1"/>
  <c r="V20" i="1"/>
  <c r="V19" i="1"/>
  <c r="V33" i="1"/>
  <c r="V18" i="1"/>
  <c r="P9" i="1"/>
  <c r="R9" i="1" s="1"/>
  <c r="S9" i="1" s="1"/>
  <c r="L9" i="1"/>
  <c r="C10" i="1"/>
  <c r="C13" i="1"/>
  <c r="C16" i="1"/>
  <c r="C18" i="1"/>
  <c r="C12" i="1"/>
  <c r="C14" i="1"/>
  <c r="C19" i="1"/>
  <c r="L20" i="1" s="1"/>
  <c r="C17" i="1"/>
  <c r="C15" i="1"/>
  <c r="L31" i="1" l="1"/>
  <c r="L28" i="1"/>
  <c r="L22" i="1"/>
  <c r="L33" i="1"/>
  <c r="L29" i="1"/>
  <c r="L30" i="1"/>
  <c r="L27" i="1"/>
  <c r="L32" i="1"/>
  <c r="L25" i="1"/>
  <c r="W10" i="1"/>
  <c r="W11" i="1" s="1"/>
  <c r="W12" i="1" s="1"/>
  <c r="W13" i="1" s="1"/>
  <c r="W14" i="1" l="1"/>
  <c r="W15" i="1" l="1"/>
  <c r="W16" i="1" l="1"/>
  <c r="W17" i="1" l="1"/>
  <c r="W18" i="1" l="1"/>
  <c r="W19" i="1" l="1"/>
  <c r="W20" i="1" l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H9" i="1"/>
  <c r="H10" i="1" l="1"/>
  <c r="H20" i="1"/>
  <c r="K20" i="1" s="1"/>
  <c r="H28" i="1"/>
  <c r="K28" i="1" s="1"/>
  <c r="H32" i="1"/>
  <c r="K32" i="1" s="1"/>
  <c r="H21" i="1"/>
  <c r="K21" i="1" s="1"/>
  <c r="H26" i="1"/>
  <c r="K26" i="1" s="1"/>
  <c r="H29" i="1"/>
  <c r="K29" i="1" s="1"/>
  <c r="H31" i="1"/>
  <c r="K31" i="1" s="1"/>
  <c r="H33" i="1"/>
  <c r="K33" i="1" s="1"/>
  <c r="H22" i="1"/>
  <c r="K22" i="1" s="1"/>
  <c r="H25" i="1"/>
  <c r="K25" i="1" s="1"/>
  <c r="H30" i="1"/>
  <c r="K30" i="1" s="1"/>
  <c r="H23" i="1"/>
  <c r="K23" i="1" s="1"/>
  <c r="H24" i="1"/>
  <c r="K24" i="1" s="1"/>
  <c r="H27" i="1"/>
  <c r="K27" i="1" s="1"/>
  <c r="H12" i="1"/>
  <c r="H18" i="1"/>
  <c r="H16" i="1"/>
  <c r="H15" i="1"/>
  <c r="H13" i="1"/>
  <c r="H11" i="1"/>
  <c r="H19" i="1"/>
  <c r="H17" i="1"/>
  <c r="H14" i="1"/>
  <c r="D11" i="1"/>
  <c r="T11" i="1" s="1"/>
  <c r="M22" i="1" l="1"/>
  <c r="N22" i="1" s="1"/>
  <c r="O22" i="1" s="1"/>
  <c r="M27" i="1"/>
  <c r="N27" i="1" s="1"/>
  <c r="O27" i="1" s="1"/>
  <c r="M29" i="1"/>
  <c r="N29" i="1" s="1"/>
  <c r="O29" i="1" s="1"/>
  <c r="M32" i="1"/>
  <c r="N32" i="1"/>
  <c r="O32" i="1" s="1"/>
  <c r="M28" i="1"/>
  <c r="N28" i="1" s="1"/>
  <c r="O28" i="1" s="1"/>
  <c r="M24" i="1"/>
  <c r="N24" i="1" s="1"/>
  <c r="O24" i="1" s="1"/>
  <c r="M23" i="1"/>
  <c r="N23" i="1" s="1"/>
  <c r="O23" i="1" s="1"/>
  <c r="M25" i="1"/>
  <c r="N25" i="1" s="1"/>
  <c r="O25" i="1" s="1"/>
  <c r="M33" i="1"/>
  <c r="N33" i="1" s="1"/>
  <c r="O33" i="1" s="1"/>
  <c r="M31" i="1"/>
  <c r="N31" i="1" s="1"/>
  <c r="O31" i="1" s="1"/>
  <c r="M26" i="1"/>
  <c r="N26" i="1" s="1"/>
  <c r="O26" i="1" s="1"/>
  <c r="M20" i="1"/>
  <c r="N20" i="1" s="1"/>
  <c r="O20" i="1" s="1"/>
  <c r="M30" i="1"/>
  <c r="N30" i="1" s="1"/>
  <c r="O30" i="1" s="1"/>
  <c r="M21" i="1"/>
  <c r="N21" i="1"/>
  <c r="O21" i="1" s="1"/>
  <c r="Q10" i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AC35" i="1"/>
  <c r="P10" i="1"/>
  <c r="I10" i="1"/>
  <c r="I11" i="1"/>
  <c r="I12" i="1"/>
  <c r="I13" i="1"/>
  <c r="I14" i="1"/>
  <c r="I15" i="1"/>
  <c r="I16" i="1"/>
  <c r="I17" i="1"/>
  <c r="I18" i="1"/>
  <c r="I19" i="1"/>
  <c r="I9" i="1"/>
  <c r="J10" i="1"/>
  <c r="J11" i="1"/>
  <c r="J12" i="1"/>
  <c r="J13" i="1"/>
  <c r="J14" i="1"/>
  <c r="J15" i="1"/>
  <c r="J16" i="1"/>
  <c r="J17" i="1"/>
  <c r="J18" i="1"/>
  <c r="J19" i="1"/>
  <c r="J9" i="1"/>
  <c r="K9" i="1" s="1"/>
  <c r="M9" i="1" s="1"/>
  <c r="X31" i="1" l="1"/>
  <c r="X29" i="1"/>
  <c r="X30" i="1"/>
  <c r="X32" i="1"/>
  <c r="X33" i="1"/>
  <c r="X22" i="1"/>
  <c r="X23" i="1"/>
  <c r="X24" i="1"/>
  <c r="X20" i="1"/>
  <c r="X25" i="1"/>
  <c r="X26" i="1"/>
  <c r="X27" i="1"/>
  <c r="X28" i="1"/>
  <c r="X21" i="1"/>
  <c r="X9" i="1"/>
  <c r="X11" i="1"/>
  <c r="X10" i="1"/>
  <c r="X12" i="1"/>
  <c r="X13" i="1"/>
  <c r="X14" i="1"/>
  <c r="X15" i="1"/>
  <c r="X16" i="1"/>
  <c r="X17" i="1"/>
  <c r="X18" i="1"/>
  <c r="X19" i="1"/>
  <c r="N9" i="1"/>
  <c r="O9" i="1" s="1"/>
  <c r="U9" i="1" s="1"/>
  <c r="AB9" i="1" s="1"/>
  <c r="P11" i="1"/>
  <c r="P12" i="1" s="1"/>
  <c r="R10" i="1"/>
  <c r="S10" i="1" s="1"/>
  <c r="P13" i="1" l="1"/>
  <c r="R13" i="1" s="1"/>
  <c r="S13" i="1" s="1"/>
  <c r="R12" i="1"/>
  <c r="S12" i="1" s="1"/>
  <c r="R11" i="1"/>
  <c r="S11" i="1" s="1"/>
  <c r="P14" i="1" l="1"/>
  <c r="R14" i="1" s="1"/>
  <c r="S14" i="1" s="1"/>
  <c r="P15" i="1" l="1"/>
  <c r="P16" i="1" s="1"/>
  <c r="R15" i="1" l="1"/>
  <c r="S15" i="1" s="1"/>
  <c r="R16" i="1"/>
  <c r="S16" i="1" s="1"/>
  <c r="P17" i="1"/>
  <c r="P18" i="1" l="1"/>
  <c r="R17" i="1"/>
  <c r="S17" i="1" s="1"/>
  <c r="R18" i="1" l="1"/>
  <c r="S18" i="1" s="1"/>
  <c r="P19" i="1"/>
  <c r="P20" i="1" s="1"/>
  <c r="P21" i="1" l="1"/>
  <c r="R20" i="1"/>
  <c r="S20" i="1" s="1"/>
  <c r="R19" i="1"/>
  <c r="S19" i="1" s="1"/>
  <c r="K10" i="1"/>
  <c r="K11" i="1"/>
  <c r="K12" i="1"/>
  <c r="K13" i="1"/>
  <c r="K14" i="1"/>
  <c r="K15" i="1"/>
  <c r="K16" i="1"/>
  <c r="K17" i="1"/>
  <c r="K18" i="1"/>
  <c r="K19" i="1"/>
  <c r="L12" i="1"/>
  <c r="L16" i="1"/>
  <c r="L19" i="1"/>
  <c r="P22" i="1" l="1"/>
  <c r="R21" i="1"/>
  <c r="S21" i="1" s="1"/>
  <c r="L13" i="1"/>
  <c r="D12" i="1"/>
  <c r="T12" i="1" s="1"/>
  <c r="M12" i="1"/>
  <c r="L10" i="1"/>
  <c r="L18" i="1"/>
  <c r="M18" i="1" s="1"/>
  <c r="M16" i="1"/>
  <c r="N16" i="1" s="1"/>
  <c r="M19" i="1"/>
  <c r="N19" i="1" s="1"/>
  <c r="L14" i="1"/>
  <c r="M14" i="1" s="1"/>
  <c r="L11" i="1"/>
  <c r="M11" i="1" s="1"/>
  <c r="L17" i="1"/>
  <c r="L15" i="1"/>
  <c r="M15" i="1" s="1"/>
  <c r="N15" i="1" s="1"/>
  <c r="P23" i="1" l="1"/>
  <c r="R22" i="1"/>
  <c r="S22" i="1" s="1"/>
  <c r="N18" i="1"/>
  <c r="N11" i="1"/>
  <c r="M10" i="1"/>
  <c r="N10" i="1" s="1"/>
  <c r="O10" i="1" s="1"/>
  <c r="U10" i="1" s="1"/>
  <c r="AB10" i="1" s="1"/>
  <c r="M13" i="1"/>
  <c r="O18" i="1"/>
  <c r="O19" i="1"/>
  <c r="N12" i="1"/>
  <c r="O12" i="1" s="1"/>
  <c r="O16" i="1"/>
  <c r="O15" i="1"/>
  <c r="N14" i="1"/>
  <c r="O14" i="1" s="1"/>
  <c r="O11" i="1"/>
  <c r="U11" i="1" s="1"/>
  <c r="AB11" i="1" s="1"/>
  <c r="M17" i="1"/>
  <c r="D13" i="1"/>
  <c r="T13" i="1" s="1"/>
  <c r="P24" i="1" l="1"/>
  <c r="R23" i="1"/>
  <c r="S23" i="1" s="1"/>
  <c r="U12" i="1"/>
  <c r="AB12" i="1" s="1"/>
  <c r="AC12" i="1" s="1"/>
  <c r="N17" i="1"/>
  <c r="O17" i="1" s="1"/>
  <c r="N13" i="1"/>
  <c r="O13" i="1" s="1"/>
  <c r="D14" i="1"/>
  <c r="T14" i="1" s="1"/>
  <c r="AC10" i="1"/>
  <c r="AC11" i="1"/>
  <c r="R24" i="1" l="1"/>
  <c r="S24" i="1" s="1"/>
  <c r="P25" i="1"/>
  <c r="U13" i="1"/>
  <c r="AB13" i="1" s="1"/>
  <c r="AC13" i="1" s="1"/>
  <c r="D15" i="1"/>
  <c r="T15" i="1" s="1"/>
  <c r="U14" i="1"/>
  <c r="AB14" i="1" l="1"/>
  <c r="AC14" i="1" s="1"/>
  <c r="P26" i="1"/>
  <c r="R25" i="1"/>
  <c r="S25" i="1"/>
  <c r="D16" i="1"/>
  <c r="T16" i="1" s="1"/>
  <c r="U15" i="1"/>
  <c r="AB15" i="1" l="1"/>
  <c r="AC15" i="1" s="1"/>
  <c r="P27" i="1"/>
  <c r="R26" i="1"/>
  <c r="S26" i="1" s="1"/>
  <c r="D17" i="1"/>
  <c r="T17" i="1" s="1"/>
  <c r="U16" i="1"/>
  <c r="AB16" i="1" l="1"/>
  <c r="AC16" i="1" s="1"/>
  <c r="P28" i="1"/>
  <c r="R27" i="1"/>
  <c r="S27" i="1" s="1"/>
  <c r="D18" i="1"/>
  <c r="T18" i="1" s="1"/>
  <c r="U17" i="1"/>
  <c r="AB17" i="1" l="1"/>
  <c r="AC17" i="1" s="1"/>
  <c r="P29" i="1"/>
  <c r="R28" i="1"/>
  <c r="S28" i="1" s="1"/>
  <c r="D19" i="1"/>
  <c r="U18" i="1"/>
  <c r="D20" i="1" l="1"/>
  <c r="T19" i="1"/>
  <c r="AB18" i="1"/>
  <c r="AC18" i="1" s="1"/>
  <c r="P30" i="1"/>
  <c r="R29" i="1"/>
  <c r="S29" i="1"/>
  <c r="AC9" i="1"/>
  <c r="AC37" i="1"/>
  <c r="Y9" i="1" s="1"/>
  <c r="D21" i="1" l="1"/>
  <c r="U19" i="1"/>
  <c r="AB19" i="1" s="1"/>
  <c r="AC19" i="1" s="1"/>
  <c r="Y10" i="1"/>
  <c r="Z9" i="1"/>
  <c r="P31" i="1"/>
  <c r="R30" i="1"/>
  <c r="S30" i="1" s="1"/>
  <c r="AE9" i="1" l="1"/>
  <c r="AI9" i="1" s="1"/>
  <c r="AA9" i="1"/>
  <c r="AD9" i="1" s="1"/>
  <c r="D22" i="1"/>
  <c r="T21" i="1"/>
  <c r="U21" i="1" s="1"/>
  <c r="AB21" i="1" s="1"/>
  <c r="AC21" i="1" s="1"/>
  <c r="T20" i="1"/>
  <c r="U20" i="1" s="1"/>
  <c r="P32" i="1"/>
  <c r="R31" i="1"/>
  <c r="S31" i="1" s="1"/>
  <c r="Y11" i="1"/>
  <c r="Z10" i="1"/>
  <c r="AA10" i="1" s="1"/>
  <c r="AG9" i="1"/>
  <c r="AH9" i="1" s="1"/>
  <c r="AB20" i="1" l="1"/>
  <c r="AC20" i="1" s="1"/>
  <c r="D23" i="1"/>
  <c r="T22" i="1"/>
  <c r="U22" i="1" s="1"/>
  <c r="AB22" i="1" s="1"/>
  <c r="AC22" i="1" s="1"/>
  <c r="Y12" i="1"/>
  <c r="Z11" i="1"/>
  <c r="AA11" i="1" s="1"/>
  <c r="R32" i="1"/>
  <c r="S32" i="1" s="1"/>
  <c r="P33" i="1"/>
  <c r="AJ9" i="1"/>
  <c r="AK9" i="1" s="1"/>
  <c r="AL9" i="1" s="1"/>
  <c r="AD10" i="1"/>
  <c r="AG10" i="1" s="1"/>
  <c r="AH10" i="1" s="1"/>
  <c r="AE10" i="1"/>
  <c r="AI10" i="1" s="1"/>
  <c r="D24" i="1" l="1"/>
  <c r="R33" i="1"/>
  <c r="S33" i="1" s="1"/>
  <c r="Y13" i="1"/>
  <c r="Z12" i="1"/>
  <c r="AA12" i="1" s="1"/>
  <c r="AJ10" i="1"/>
  <c r="AD11" i="1"/>
  <c r="AG11" i="1" s="1"/>
  <c r="AH11" i="1" s="1"/>
  <c r="AE11" i="1"/>
  <c r="AI11" i="1" s="1"/>
  <c r="D25" i="1" l="1"/>
  <c r="T24" i="1"/>
  <c r="U24" i="1" s="1"/>
  <c r="T23" i="1"/>
  <c r="U23" i="1"/>
  <c r="AB23" i="1" s="1"/>
  <c r="AC23" i="1" s="1"/>
  <c r="Y14" i="1"/>
  <c r="Z13" i="1"/>
  <c r="AA13" i="1" s="1"/>
  <c r="AK10" i="1"/>
  <c r="AL10" i="1" s="1"/>
  <c r="AJ11" i="1"/>
  <c r="AD12" i="1"/>
  <c r="AG12" i="1" s="1"/>
  <c r="AH12" i="1" s="1"/>
  <c r="AE12" i="1"/>
  <c r="AI12" i="1" s="1"/>
  <c r="AB24" i="1" l="1"/>
  <c r="AC24" i="1" s="1"/>
  <c r="D26" i="1"/>
  <c r="T25" i="1"/>
  <c r="U25" i="1" s="1"/>
  <c r="Y15" i="1"/>
  <c r="Z14" i="1"/>
  <c r="AA14" i="1" s="1"/>
  <c r="AK11" i="1"/>
  <c r="AL11" i="1" s="1"/>
  <c r="AJ12" i="1"/>
  <c r="AE13" i="1"/>
  <c r="AI13" i="1" s="1"/>
  <c r="AD13" i="1"/>
  <c r="AG13" i="1" s="1"/>
  <c r="AH13" i="1" s="1"/>
  <c r="AB25" i="1" l="1"/>
  <c r="AC25" i="1" s="1"/>
  <c r="D27" i="1"/>
  <c r="T26" i="1"/>
  <c r="U26" i="1" s="1"/>
  <c r="Y16" i="1"/>
  <c r="Z15" i="1"/>
  <c r="AA15" i="1" s="1"/>
  <c r="AK12" i="1"/>
  <c r="AL12" i="1" s="1"/>
  <c r="AJ13" i="1"/>
  <c r="AD14" i="1"/>
  <c r="AG14" i="1" s="1"/>
  <c r="AH14" i="1" s="1"/>
  <c r="AE14" i="1"/>
  <c r="AI14" i="1" s="1"/>
  <c r="AB26" i="1" l="1"/>
  <c r="AC26" i="1" s="1"/>
  <c r="D28" i="1"/>
  <c r="T27" i="1"/>
  <c r="U27" i="1" s="1"/>
  <c r="Y17" i="1"/>
  <c r="Z16" i="1"/>
  <c r="AA16" i="1" s="1"/>
  <c r="AK13" i="1"/>
  <c r="AL13" i="1" s="1"/>
  <c r="AJ14" i="1"/>
  <c r="AE15" i="1"/>
  <c r="AI15" i="1" s="1"/>
  <c r="AD15" i="1"/>
  <c r="AG15" i="1" s="1"/>
  <c r="AH15" i="1" s="1"/>
  <c r="AB27" i="1" l="1"/>
  <c r="AC27" i="1" s="1"/>
  <c r="D29" i="1"/>
  <c r="T28" i="1"/>
  <c r="U28" i="1" s="1"/>
  <c r="Y18" i="1"/>
  <c r="Z17" i="1"/>
  <c r="AA17" i="1" s="1"/>
  <c r="AK14" i="1"/>
  <c r="AL14" i="1" s="1"/>
  <c r="AJ15" i="1"/>
  <c r="AD16" i="1"/>
  <c r="AG16" i="1" s="1"/>
  <c r="AH16" i="1" s="1"/>
  <c r="AE16" i="1"/>
  <c r="AI16" i="1" s="1"/>
  <c r="AB28" i="1" l="1"/>
  <c r="AC28" i="1" s="1"/>
  <c r="D30" i="1"/>
  <c r="T29" i="1"/>
  <c r="U29" i="1" s="1"/>
  <c r="Y19" i="1"/>
  <c r="Z18" i="1"/>
  <c r="AA18" i="1" s="1"/>
  <c r="AK15" i="1"/>
  <c r="AL15" i="1" s="1"/>
  <c r="AJ16" i="1"/>
  <c r="AE17" i="1"/>
  <c r="AI17" i="1" s="1"/>
  <c r="AD17" i="1"/>
  <c r="AG17" i="1" s="1"/>
  <c r="AH17" i="1" s="1"/>
  <c r="AB29" i="1" l="1"/>
  <c r="AC29" i="1" s="1"/>
  <c r="D31" i="1"/>
  <c r="T30" i="1"/>
  <c r="U30" i="1" s="1"/>
  <c r="Y20" i="1"/>
  <c r="Z19" i="1"/>
  <c r="AA19" i="1" s="1"/>
  <c r="AD19" i="1" s="1"/>
  <c r="AG19" i="1" s="1"/>
  <c r="AK16" i="1"/>
  <c r="AL16" i="1" s="1"/>
  <c r="AJ17" i="1"/>
  <c r="AE19" i="1"/>
  <c r="AI19" i="1" s="1"/>
  <c r="AE18" i="1"/>
  <c r="AI18" i="1" s="1"/>
  <c r="AD18" i="1"/>
  <c r="AG18" i="1" s="1"/>
  <c r="AH18" i="1" s="1"/>
  <c r="AB30" i="1" l="1"/>
  <c r="AC30" i="1" s="1"/>
  <c r="D32" i="1"/>
  <c r="T31" i="1"/>
  <c r="U31" i="1" s="1"/>
  <c r="Y21" i="1"/>
  <c r="Z20" i="1"/>
  <c r="AK17" i="1"/>
  <c r="AL17" i="1" s="1"/>
  <c r="AH19" i="1"/>
  <c r="AJ18" i="1"/>
  <c r="AE20" i="1" l="1"/>
  <c r="AI20" i="1" s="1"/>
  <c r="AA20" i="1"/>
  <c r="AD20" i="1" s="1"/>
  <c r="AG20" i="1" s="1"/>
  <c r="AB31" i="1"/>
  <c r="AC31" i="1" s="1"/>
  <c r="D33" i="1"/>
  <c r="T32" i="1"/>
  <c r="U32" i="1" s="1"/>
  <c r="AB32" i="1" s="1"/>
  <c r="AC32" i="1" s="1"/>
  <c r="AJ19" i="1"/>
  <c r="AK19" i="1" s="1"/>
  <c r="AL19" i="1" s="1"/>
  <c r="AH20" i="1"/>
  <c r="Y22" i="1"/>
  <c r="Z21" i="1"/>
  <c r="AK18" i="1"/>
  <c r="AL18" i="1" s="1"/>
  <c r="T33" i="1" l="1"/>
  <c r="U33" i="1"/>
  <c r="AE21" i="1"/>
  <c r="AI21" i="1" s="1"/>
  <c r="AA21" i="1"/>
  <c r="AD21" i="1" s="1"/>
  <c r="AG21" i="1" s="1"/>
  <c r="AH21" i="1" s="1"/>
  <c r="AJ20" i="1"/>
  <c r="AK20" i="1" s="1"/>
  <c r="AL20" i="1" s="1"/>
  <c r="Y23" i="1"/>
  <c r="Z22" i="1"/>
  <c r="AE22" i="1" l="1"/>
  <c r="AI22" i="1" s="1"/>
  <c r="AA22" i="1"/>
  <c r="AD22" i="1" s="1"/>
  <c r="AG22" i="1" s="1"/>
  <c r="AB33" i="1"/>
  <c r="AC33" i="1" s="1"/>
  <c r="AJ21" i="1"/>
  <c r="AK21" i="1" s="1"/>
  <c r="AL21" i="1" s="1"/>
  <c r="AH22" i="1"/>
  <c r="Y24" i="1"/>
  <c r="Z23" i="1"/>
  <c r="AE23" i="1" l="1"/>
  <c r="AI23" i="1" s="1"/>
  <c r="AA23" i="1"/>
  <c r="AD23" i="1" s="1"/>
  <c r="AG23" i="1" s="1"/>
  <c r="AH23" i="1"/>
  <c r="AJ22" i="1"/>
  <c r="AK22" i="1" s="1"/>
  <c r="AL22" i="1" s="1"/>
  <c r="Y25" i="1"/>
  <c r="Z24" i="1"/>
  <c r="AE24" i="1" l="1"/>
  <c r="AI24" i="1" s="1"/>
  <c r="AA24" i="1"/>
  <c r="AD24" i="1" s="1"/>
  <c r="AG24" i="1" s="1"/>
  <c r="AH24" i="1" s="1"/>
  <c r="AJ23" i="1"/>
  <c r="AK23" i="1" s="1"/>
  <c r="AL23" i="1" s="1"/>
  <c r="Y26" i="1"/>
  <c r="Z25" i="1"/>
  <c r="AE25" i="1" l="1"/>
  <c r="AI25" i="1" s="1"/>
  <c r="AA25" i="1"/>
  <c r="AD25" i="1" s="1"/>
  <c r="AG25" i="1" s="1"/>
  <c r="AJ24" i="1"/>
  <c r="AK24" i="1" s="1"/>
  <c r="AL24" i="1" s="1"/>
  <c r="AH25" i="1"/>
  <c r="Y27" i="1"/>
  <c r="Z26" i="1"/>
  <c r="AE26" i="1" l="1"/>
  <c r="AI26" i="1" s="1"/>
  <c r="AA26" i="1"/>
  <c r="AD26" i="1" s="1"/>
  <c r="AG26" i="1" s="1"/>
  <c r="AJ25" i="1"/>
  <c r="AK25" i="1" s="1"/>
  <c r="AL25" i="1" s="1"/>
  <c r="AH26" i="1"/>
  <c r="Y28" i="1"/>
  <c r="Z27" i="1"/>
  <c r="AE27" i="1" l="1"/>
  <c r="AI27" i="1" s="1"/>
  <c r="AA27" i="1"/>
  <c r="AD27" i="1" s="1"/>
  <c r="AG27" i="1" s="1"/>
  <c r="AJ26" i="1"/>
  <c r="AK26" i="1" s="1"/>
  <c r="AL26" i="1" s="1"/>
  <c r="AH27" i="1"/>
  <c r="Y29" i="1"/>
  <c r="Z28" i="1"/>
  <c r="AE28" i="1" l="1"/>
  <c r="AI28" i="1" s="1"/>
  <c r="AA28" i="1"/>
  <c r="AD28" i="1" s="1"/>
  <c r="AG28" i="1" s="1"/>
  <c r="AJ27" i="1"/>
  <c r="AK27" i="1" s="1"/>
  <c r="AL27" i="1" s="1"/>
  <c r="AH28" i="1"/>
  <c r="Y30" i="1"/>
  <c r="Z29" i="1"/>
  <c r="AE29" i="1" l="1"/>
  <c r="AI29" i="1" s="1"/>
  <c r="AA29" i="1"/>
  <c r="AD29" i="1" s="1"/>
  <c r="AG29" i="1" s="1"/>
  <c r="AH29" i="1" s="1"/>
  <c r="AJ28" i="1"/>
  <c r="AK28" i="1" s="1"/>
  <c r="AL28" i="1" s="1"/>
  <c r="Y31" i="1"/>
  <c r="Z30" i="1"/>
  <c r="AE30" i="1" l="1"/>
  <c r="AI30" i="1" s="1"/>
  <c r="AA30" i="1"/>
  <c r="AD30" i="1" s="1"/>
  <c r="AG30" i="1" s="1"/>
  <c r="AH30" i="1" s="1"/>
  <c r="AJ29" i="1"/>
  <c r="AK29" i="1" s="1"/>
  <c r="AL29" i="1" s="1"/>
  <c r="Y32" i="1"/>
  <c r="Z31" i="1"/>
  <c r="AE31" i="1" l="1"/>
  <c r="AI31" i="1" s="1"/>
  <c r="AA31" i="1"/>
  <c r="AD31" i="1" s="1"/>
  <c r="AG31" i="1" s="1"/>
  <c r="AH31" i="1" s="1"/>
  <c r="AJ30" i="1"/>
  <c r="AK30" i="1" s="1"/>
  <c r="AL30" i="1" s="1"/>
  <c r="Y33" i="1"/>
  <c r="Z33" i="1" s="1"/>
  <c r="Z32" i="1"/>
  <c r="AE32" i="1" l="1"/>
  <c r="AI32" i="1" s="1"/>
  <c r="AA32" i="1"/>
  <c r="AD32" i="1" s="1"/>
  <c r="AG32" i="1" s="1"/>
  <c r="AE33" i="1"/>
  <c r="AI33" i="1" s="1"/>
  <c r="AA33" i="1"/>
  <c r="AD33" i="1" s="1"/>
  <c r="AG33" i="1" s="1"/>
  <c r="AJ31" i="1"/>
  <c r="AK31" i="1" s="1"/>
  <c r="AL31" i="1" s="1"/>
  <c r="AH32" i="1"/>
  <c r="AH33" i="1" l="1"/>
  <c r="AJ33" i="1" s="1"/>
  <c r="AK33" i="1" s="1"/>
  <c r="AL33" i="1" s="1"/>
  <c r="AJ32" i="1"/>
  <c r="AK32" i="1" s="1"/>
  <c r="AL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PabloAC</author>
    <author>Luisa Torres</author>
  </authors>
  <commentList>
    <comment ref="C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Cantidad del Dodecilbenceno Energía Electrica
(Kw/año)</t>
        </r>
      </text>
    </comment>
    <comment ref="D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Precio Energía
(Kw/Año)</t>
        </r>
      </text>
    </comment>
    <comment ref="G8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Ingresos totales por venta de productos y subproductos (COP/año)</t>
        </r>
      </text>
    </comment>
    <comment ref="H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Precio promedio de los Residuos Plasticos 
(COP/Ton)</t>
        </r>
      </text>
    </comment>
    <comment ref="I8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Cantidad de Aire necesaria (Ton/año)</t>
        </r>
      </text>
    </comment>
    <comment ref="K8" authorId="0" shapeId="0" xr:uid="{2B8F1664-96EB-491D-A16C-D4422D89CA98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Costo unitario de materias primas (COP/Ton de RP
*año)</t>
        </r>
      </text>
    </comment>
    <comment ref="L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Costos unitario de servicios (COP/Ton de Energía Electrica kWatt*año)</t>
        </r>
      </text>
    </comment>
    <comment ref="M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Costos unitarios (COP/kW de Energía Electrica*año)</t>
        </r>
      </text>
    </comment>
    <comment ref="N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Total de costos unitarios (COP/kW de Energía Electrica*año)</t>
        </r>
      </text>
    </comment>
    <comment ref="O8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Total de costos variables (COP/año)</t>
        </r>
      </text>
    </comment>
    <comment ref="P8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Costo de mantenimiento (COP/año)
</t>
        </r>
      </text>
    </comment>
    <comment ref="Q8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Costo de mano de obra (COP/año)</t>
        </r>
      </text>
    </comment>
    <comment ref="R8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Otros costos fijos (COP/año)</t>
        </r>
      </text>
    </comment>
    <comment ref="S8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Total de costos fijos operacionales (COP/año)</t>
        </r>
      </text>
    </comment>
    <comment ref="T8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Total de costos totales
(COP/año)</t>
        </r>
      </text>
    </comment>
    <comment ref="U8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Utilidades reales antes de impuestos (COP/año)</t>
        </r>
      </text>
    </comment>
    <comment ref="V8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Depreciación (COP/año)
</t>
        </r>
      </text>
    </comment>
    <comment ref="W8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Depreciación acumulada (COP/año)</t>
        </r>
      </text>
    </comment>
    <comment ref="X8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en libros de la inversión fija (COP/año)</t>
        </r>
      </text>
    </comment>
    <comment ref="Y8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en libros de la inversión de trabajo (COP/año)</t>
        </r>
      </text>
    </comment>
    <comment ref="Z8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en libros del patrimonio (COP/año)</t>
        </r>
      </text>
    </comment>
    <comment ref="AA8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Impuesto al patrimonio (COP/año)
</t>
        </r>
      </text>
    </comment>
    <comment ref="AB8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Utilidades legales antes de impuestos (COP/año)</t>
        </r>
      </text>
    </comment>
    <comment ref="AC8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Impuestos a las utilidades (COP/año)</t>
        </r>
      </text>
    </comment>
    <comment ref="AD8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Utilidades reales después de impuestos (COP/año)</t>
        </r>
      </text>
    </comment>
    <comment ref="AE8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de salvamento (COP/año)</t>
        </r>
      </text>
    </comment>
    <comment ref="AG8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presente de las utilidades después de impuestos (COP/año)
</t>
        </r>
      </text>
    </comment>
    <comment ref="AI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presente de valor de salvamento (COP/año)</t>
        </r>
      </text>
    </comment>
    <comment ref="AJ8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presente del año cero (COP)</t>
        </r>
      </text>
    </comment>
    <comment ref="AK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presente en el año cero (USD)</t>
        </r>
      </text>
    </comment>
    <comment ref="AL8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Valor presente en el año cero (Millones de USD).</t>
        </r>
      </text>
    </comment>
    <comment ref="B37" authorId="1" shapeId="0" xr:uid="{00000000-0006-0000-0000-000036000000}">
      <text>
        <r>
          <rPr>
            <b/>
            <sz val="9"/>
            <color indexed="81"/>
            <rFont val="Tahoma"/>
            <family val="2"/>
          </rPr>
          <t xml:space="preserve">Comentario:
</t>
        </r>
        <r>
          <rPr>
            <sz val="9"/>
            <color indexed="81"/>
            <rFont val="Tahoma"/>
            <family val="2"/>
          </rPr>
          <t xml:space="preserve">Dato obtenido de la simulación en Aspen Plus v14
</t>
        </r>
      </text>
    </comment>
    <comment ref="E37" authorId="1" shapeId="0" xr:uid="{00000000-0006-0000-0000-000040000000}">
      <text>
        <r>
          <rPr>
            <b/>
            <sz val="9"/>
            <color indexed="81"/>
            <rFont val="Tahoma"/>
            <family val="2"/>
          </rPr>
          <t>Comentario:</t>
        </r>
        <r>
          <rPr>
            <sz val="9"/>
            <color indexed="81"/>
            <rFont val="Tahoma"/>
            <family val="2"/>
          </rPr>
          <t xml:space="preserve">
Dato obtenido de la simulación de ASPEN V14
</t>
        </r>
      </text>
    </comment>
  </commentList>
</comments>
</file>

<file path=xl/sharedStrings.xml><?xml version="1.0" encoding="utf-8"?>
<sst xmlns="http://schemas.openxmlformats.org/spreadsheetml/2006/main" count="62" uniqueCount="57">
  <si>
    <t>Año</t>
  </si>
  <si>
    <t>Ingresos</t>
  </si>
  <si>
    <t>OCU</t>
  </si>
  <si>
    <t>TOCU</t>
  </si>
  <si>
    <t>TCV</t>
  </si>
  <si>
    <t>TCFO</t>
  </si>
  <si>
    <t>TOCO</t>
  </si>
  <si>
    <t>URAI</t>
  </si>
  <si>
    <t>OCFO</t>
  </si>
  <si>
    <t>Itotal</t>
  </si>
  <si>
    <t>Iw</t>
  </si>
  <si>
    <t>Ifija</t>
  </si>
  <si>
    <t>Ifisica</t>
  </si>
  <si>
    <t>DEP</t>
  </si>
  <si>
    <t>DEPA</t>
  </si>
  <si>
    <t>ULAI</t>
  </si>
  <si>
    <t>IU</t>
  </si>
  <si>
    <t>URDI</t>
  </si>
  <si>
    <t>P/F</t>
  </si>
  <si>
    <t>TAM</t>
  </si>
  <si>
    <t>VP URDI</t>
  </si>
  <si>
    <t>SUM VP URDI</t>
  </si>
  <si>
    <t>VPN</t>
  </si>
  <si>
    <t>Vsto</t>
  </si>
  <si>
    <t>VPN USD</t>
  </si>
  <si>
    <t>VPN MMUSD</t>
  </si>
  <si>
    <t>VSTO</t>
  </si>
  <si>
    <t>VP VSTO</t>
  </si>
  <si>
    <t>MATERIAS PRIMAS</t>
  </si>
  <si>
    <t>PRODUCTO PRINCIPAL</t>
  </si>
  <si>
    <t>DEPRECIACIÓN</t>
  </si>
  <si>
    <t>COSTOS VARIABLES</t>
  </si>
  <si>
    <t>COSTOS FIJOS</t>
  </si>
  <si>
    <t xml:space="preserve">IMPUESTOS </t>
  </si>
  <si>
    <t>COSTO REAL  SERVICIOS PLANTA</t>
  </si>
  <si>
    <t>EE</t>
  </si>
  <si>
    <t>Residuos Plasticos</t>
  </si>
  <si>
    <t>Aire</t>
  </si>
  <si>
    <t>Agua</t>
  </si>
  <si>
    <t>Agente Gasificante</t>
  </si>
  <si>
    <r>
      <t>P</t>
    </r>
    <r>
      <rPr>
        <sz val="8"/>
        <color theme="1"/>
        <rFont val="Century Gothic"/>
        <family val="2"/>
      </rPr>
      <t>PP</t>
    </r>
  </si>
  <si>
    <r>
      <t>C</t>
    </r>
    <r>
      <rPr>
        <sz val="8"/>
        <color theme="1"/>
        <rFont val="Century Gothic"/>
        <family val="2"/>
      </rPr>
      <t>UMP</t>
    </r>
  </si>
  <si>
    <r>
      <t>C</t>
    </r>
    <r>
      <rPr>
        <sz val="8"/>
        <color theme="1"/>
        <rFont val="Century Gothic"/>
        <family val="2"/>
      </rPr>
      <t>USER</t>
    </r>
  </si>
  <si>
    <r>
      <t>C</t>
    </r>
    <r>
      <rPr>
        <sz val="8"/>
        <color theme="1"/>
        <rFont val="Century Gothic"/>
        <family val="2"/>
      </rPr>
      <t>MAN</t>
    </r>
  </si>
  <si>
    <r>
      <t>C</t>
    </r>
    <r>
      <rPr>
        <sz val="8"/>
        <color theme="1"/>
        <rFont val="Century Gothic"/>
        <family val="2"/>
      </rPr>
      <t>MO</t>
    </r>
  </si>
  <si>
    <r>
      <t>VLI</t>
    </r>
    <r>
      <rPr>
        <sz val="8"/>
        <color theme="1"/>
        <rFont val="Century Gothic"/>
        <family val="2"/>
      </rPr>
      <t>F</t>
    </r>
  </si>
  <si>
    <r>
      <t>VLI</t>
    </r>
    <r>
      <rPr>
        <sz val="8"/>
        <color theme="1"/>
        <rFont val="Century Gothic"/>
        <family val="2"/>
      </rPr>
      <t>W</t>
    </r>
  </si>
  <si>
    <r>
      <t>VL</t>
    </r>
    <r>
      <rPr>
        <sz val="8"/>
        <color theme="1"/>
        <rFont val="Century Gothic"/>
        <family val="2"/>
      </rPr>
      <t>PA</t>
    </r>
  </si>
  <si>
    <r>
      <t>I</t>
    </r>
    <r>
      <rPr>
        <sz val="8"/>
        <color theme="1"/>
        <rFont val="Century Gothic"/>
        <family val="2"/>
      </rPr>
      <t>PA</t>
    </r>
  </si>
  <si>
    <t>CAPACIDAD REAL DE LA PLANTA (KW/año)</t>
  </si>
  <si>
    <t xml:space="preserve">tasa de crecimiento </t>
  </si>
  <si>
    <t>Impuestos</t>
  </si>
  <si>
    <t>No</t>
  </si>
  <si>
    <t>Plastico Gratis</t>
  </si>
  <si>
    <t>Si</t>
  </si>
  <si>
    <t>H2</t>
  </si>
  <si>
    <t>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</si>
</sst>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0.0000"/>
    <numFmt numFmtId="165" formatCode="&quot;$&quot;\ #,##0.00"/>
  </numFmts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3"/>
      <color theme="1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6AB7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44" fontId="4" fillId="0" borderId="0" xfId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9" fillId="0" borderId="0" xfId="0" applyNumberFormat="1" applyFont="1" applyFill="1" applyBorder="1" applyAlignment="1"/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11" fontId="9" fillId="0" borderId="1" xfId="0" applyNumberFormat="1" applyFont="1" applyBorder="1" applyAlignment="1">
      <alignment horizontal="center" vertical="center" wrapText="1"/>
    </xf>
    <xf numFmtId="9" fontId="0" fillId="0" borderId="0" xfId="0" applyNumberForma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1FED38"/>
      <color rgb="FFE6AB7E"/>
      <color rgb="FFDB9F63"/>
      <color rgb="FF59EA26"/>
      <color rgb="FFD6E456"/>
      <color rgb="FFCADC24"/>
      <color rgb="FF83F591"/>
      <color rgb="FF55F1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'Valor presente neto'!$B$9:$B$33</c:f>
              <c:numCache>
                <c:formatCode>General</c:formatCode>
                <c:ptCount val="2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</c:numCache>
            </c:numRef>
          </c:xVal>
          <c:yVal>
            <c:numRef>
              <c:f>'Valor presente neto'!$AL$10:$AL$33</c:f>
              <c:numCache>
                <c:formatCode>0.0000</c:formatCode>
                <c:ptCount val="24"/>
                <c:pt idx="0">
                  <c:v>-0.48793438065100464</c:v>
                </c:pt>
                <c:pt idx="1">
                  <c:v>-0.67084881683043174</c:v>
                </c:pt>
                <c:pt idx="2">
                  <c:v>-0.74839995344183852</c:v>
                </c:pt>
                <c:pt idx="3">
                  <c:v>-0.78110513487785205</c:v>
                </c:pt>
                <c:pt idx="4">
                  <c:v>-0.7948122435794398</c:v>
                </c:pt>
                <c:pt idx="5">
                  <c:v>-0.80051497920075221</c:v>
                </c:pt>
                <c:pt idx="6">
                  <c:v>-0.80286671438301616</c:v>
                </c:pt>
                <c:pt idx="7">
                  <c:v>-0.80382613370142808</c:v>
                </c:pt>
                <c:pt idx="8">
                  <c:v>-0.80421229803003313</c:v>
                </c:pt>
                <c:pt idx="9">
                  <c:v>-0.80436505794100233</c:v>
                </c:pt>
                <c:pt idx="10">
                  <c:v>-0.80442410809346665</c:v>
                </c:pt>
                <c:pt idx="11">
                  <c:v>-0.80444620952655577</c:v>
                </c:pt>
                <c:pt idx="12">
                  <c:v>-0.80445409188069228</c:v>
                </c:pt>
                <c:pt idx="13">
                  <c:v>-0.80445668648437385</c:v>
                </c:pt>
                <c:pt idx="14">
                  <c:v>-0.80445741422740646</c:v>
                </c:pt>
                <c:pt idx="15">
                  <c:v>-0.80445753852772317</c:v>
                </c:pt>
                <c:pt idx="16">
                  <c:v>-0.80445750056049281</c:v>
                </c:pt>
                <c:pt idx="17">
                  <c:v>-0.80445744005840258</c:v>
                </c:pt>
                <c:pt idx="18">
                  <c:v>-0.80445739274853634</c:v>
                </c:pt>
                <c:pt idx="19">
                  <c:v>-0.80445736216381925</c:v>
                </c:pt>
                <c:pt idx="20">
                  <c:v>-0.80445734409628122</c:v>
                </c:pt>
                <c:pt idx="21">
                  <c:v>-0.80445733397145747</c:v>
                </c:pt>
                <c:pt idx="22">
                  <c:v>-0.80445732849060492</c:v>
                </c:pt>
                <c:pt idx="23">
                  <c:v>-0.80445732559522909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C9-4F83-9C73-15CA41A0F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8992944"/>
        <c:axId val="1548993360"/>
      </c:scatterChart>
      <c:valAx>
        <c:axId val="1548992944"/>
        <c:scaling>
          <c:orientation val="minMax"/>
          <c:max val="20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8993360"/>
        <c:crosses val="autoZero"/>
        <c:crossBetween val="midCat"/>
      </c:valAx>
      <c:valAx>
        <c:axId val="154899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VPN MMUSD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8992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'Valor presente neto'!$G$8</c:f>
              <c:strCache>
                <c:ptCount val="1"/>
                <c:pt idx="0">
                  <c:v>Ingresos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'Valor presente neto'!$B$9:$B$33</c:f>
              <c:numCache>
                <c:formatCode>General</c:formatCode>
                <c:ptCount val="2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</c:numCache>
            </c:numRef>
          </c:xVal>
          <c:yVal>
            <c:numRef>
              <c:f>'Valor presente neto'!$G$9:$G$33</c:f>
              <c:numCache>
                <c:formatCode>"$"\ #,##0.00</c:formatCode>
                <c:ptCount val="25"/>
                <c:pt idx="0">
                  <c:v>643320443.07357955</c:v>
                </c:pt>
                <c:pt idx="1">
                  <c:v>688238214.0887301</c:v>
                </c:pt>
                <c:pt idx="2">
                  <c:v>736300229.07494128</c:v>
                </c:pt>
                <c:pt idx="3">
                  <c:v>787726585.11018729</c:v>
                </c:pt>
                <c:pt idx="4">
                  <c:v>842752786.06790042</c:v>
                </c:pt>
                <c:pt idx="5">
                  <c:v>901630821.09265351</c:v>
                </c:pt>
                <c:pt idx="6">
                  <c:v>964630318.56913924</c:v>
                </c:pt>
                <c:pt idx="7">
                  <c:v>1032039780.868979</c:v>
                </c:pt>
                <c:pt idx="8">
                  <c:v>1104167905.5298076</c:v>
                </c:pt>
                <c:pt idx="9">
                  <c:v>1181344998.916894</c:v>
                </c:pt>
                <c:pt idx="10">
                  <c:v>1263924488.8410766</c:v>
                </c:pt>
                <c:pt idx="11">
                  <c:v>1352284543.059952</c:v>
                </c:pt>
                <c:pt idx="12">
                  <c:v>1446829801.0741489</c:v>
                </c:pt>
                <c:pt idx="13">
                  <c:v>1547993227.1493394</c:v>
                </c:pt>
                <c:pt idx="14">
                  <c:v>1656238093.0497932</c:v>
                </c:pt>
                <c:pt idx="15">
                  <c:v>1772060099.5632789</c:v>
                </c:pt>
                <c:pt idx="16">
                  <c:v>1895989646.5327086</c:v>
                </c:pt>
                <c:pt idx="17">
                  <c:v>2028594261.7899985</c:v>
                </c:pt>
                <c:pt idx="18">
                  <c:v>2170481200.1152987</c:v>
                </c:pt>
                <c:pt idx="19">
                  <c:v>2322300224.1233697</c:v>
                </c:pt>
                <c:pt idx="20">
                  <c:v>2484746579.8120055</c:v>
                </c:pt>
                <c:pt idx="21">
                  <c:v>2658564180.3988461</c:v>
                </c:pt>
                <c:pt idx="22">
                  <c:v>2844549013.0267658</c:v>
                </c:pt>
                <c:pt idx="23">
                  <c:v>3043552783.9386396</c:v>
                </c:pt>
                <c:pt idx="24">
                  <c:v>3256486818.8143444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86-4D31-BA22-1237312E3BCC}"/>
            </c:ext>
          </c:extLst>
        </c:ser>
        <c:ser>
          <c:idx val="1"/>
          <c:order val="1"/>
          <c:tx>
            <c:strRef>
              <c:f>'Valor presente neto'!$AD$8</c:f>
              <c:strCache>
                <c:ptCount val="1"/>
                <c:pt idx="0">
                  <c:v>URDI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'Valor presente neto'!$B$9:$B$33</c:f>
              <c:numCache>
                <c:formatCode>General</c:formatCode>
                <c:ptCount val="2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</c:numCache>
            </c:numRef>
          </c:xVal>
          <c:yVal>
            <c:numRef>
              <c:f>'Valor presente neto'!$AD$9:$AD$33</c:f>
              <c:numCache>
                <c:formatCode>General</c:formatCode>
                <c:ptCount val="25"/>
                <c:pt idx="0" formatCode="&quot;$&quot;\ #,##0.00">
                  <c:v>-72573848.813249782</c:v>
                </c:pt>
                <c:pt idx="1">
                  <c:v>-33709919.48993592</c:v>
                </c:pt>
                <c:pt idx="2">
                  <c:v>6277435.2576074451</c:v>
                </c:pt>
                <c:pt idx="3">
                  <c:v>47469940.100810796</c:v>
                </c:pt>
                <c:pt idx="4">
                  <c:v>89955163.833774447</c:v>
                </c:pt>
                <c:pt idx="5">
                  <c:v>133826933.39768153</c:v>
                </c:pt>
                <c:pt idx="6">
                  <c:v>179185777.0843541</c:v>
                </c:pt>
                <c:pt idx="7">
                  <c:v>226139398.96938813</c:v>
                </c:pt>
                <c:pt idx="8">
                  <c:v>274803186.76915139</c:v>
                </c:pt>
                <c:pt idx="9">
                  <c:v>325300755.46985644</c:v>
                </c:pt>
                <c:pt idx="10">
                  <c:v>377764529.24163854</c:v>
                </c:pt>
                <c:pt idx="11">
                  <c:v>432336364.32682425</c:v>
                </c:pt>
                <c:pt idx="12">
                  <c:v>489168215.7801981</c:v>
                </c:pt>
                <c:pt idx="13">
                  <c:v>548422851.14089251</c:v>
                </c:pt>
                <c:pt idx="14">
                  <c:v>610274614.33151436</c:v>
                </c:pt>
                <c:pt idx="15">
                  <c:v>674910243.31121588</c:v>
                </c:pt>
                <c:pt idx="16">
                  <c:v>742529745.25673294</c:v>
                </c:pt>
                <c:pt idx="17">
                  <c:v>813347333.31003261</c:v>
                </c:pt>
                <c:pt idx="18">
                  <c:v>887592429.21439433</c:v>
                </c:pt>
                <c:pt idx="19">
                  <c:v>965510736.46375656</c:v>
                </c:pt>
                <c:pt idx="20">
                  <c:v>1047365388.9144068</c:v>
                </c:pt>
                <c:pt idx="21">
                  <c:v>1133438180.1550601</c:v>
                </c:pt>
                <c:pt idx="22">
                  <c:v>1224030879.3026252</c:v>
                </c:pt>
                <c:pt idx="23">
                  <c:v>1319466639.288259</c:v>
                </c:pt>
                <c:pt idx="24">
                  <c:v>1420091504.1234074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86-4D31-BA22-1237312E3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0917472"/>
        <c:axId val="1120915808"/>
      </c:scatterChart>
      <c:valAx>
        <c:axId val="112091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0915808"/>
        <c:crosses val="autoZero"/>
        <c:crossBetween val="midCat"/>
      </c:valAx>
      <c:valAx>
        <c:axId val="112091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\ 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0917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168728</xdr:colOff>
      <xdr:row>7</xdr:row>
      <xdr:rowOff>163286</xdr:rowOff>
    </xdr:from>
    <xdr:to>
      <xdr:col>43</xdr:col>
      <xdr:colOff>81643</xdr:colOff>
      <xdr:row>21</xdr:row>
      <xdr:rowOff>141515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693C47-34A5-4C8E-8E13-8B9FD638B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907473</xdr:colOff>
      <xdr:row>15</xdr:row>
      <xdr:rowOff>41564</xdr:rowOff>
    </xdr:from>
    <xdr:to>
      <xdr:col>15</xdr:col>
      <xdr:colOff>464128</xdr:colOff>
      <xdr:row>29</xdr:row>
      <xdr:rowOff>124691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3E4A588-FEBD-4F05-97D2-89D26D313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2"/>
  <sheetViews>
    <sheetView tabSelected="1" topLeftCell="A29" zoomScale="115" zoomScaleNormal="115" workbookViewId="0">
      <selection activeCell="AE4" sqref="AE4"/>
    </sheetView>
  </sheetViews>
  <sheetFormatPr baseColWidth="10" defaultColWidth="17" defaultRowHeight="13.8" x14ac:dyDescent="0.3"/>
  <cols>
    <col min="1" max="1" width="3.21875" style="3" bestFit="1" customWidth="1"/>
    <col min="2" max="3" width="17" style="3"/>
    <col min="4" max="4" width="20.88671875" style="3" bestFit="1" customWidth="1"/>
    <col min="5" max="5" width="20.88671875" style="31" customWidth="1"/>
    <col min="6" max="6" width="20.88671875" style="38" customWidth="1"/>
    <col min="7" max="7" width="20.109375" style="3" bestFit="1" customWidth="1"/>
    <col min="8" max="8" width="19.88671875" style="3" bestFit="1" customWidth="1"/>
    <col min="9" max="9" width="13.21875" style="3" bestFit="1" customWidth="1"/>
    <col min="10" max="10" width="12.6640625" style="3" customWidth="1"/>
    <col min="11" max="11" width="22.109375" style="3" bestFit="1" customWidth="1"/>
    <col min="12" max="12" width="19.109375" style="3" customWidth="1"/>
    <col min="13" max="13" width="20.33203125" style="3" bestFit="1" customWidth="1"/>
    <col min="14" max="14" width="22.109375" style="3" bestFit="1" customWidth="1"/>
    <col min="15" max="15" width="30.77734375" style="3" bestFit="1" customWidth="1"/>
    <col min="16" max="17" width="13.6640625" style="3" bestFit="1" customWidth="1"/>
    <col min="18" max="18" width="11" style="3" bestFit="1" customWidth="1"/>
    <col min="19" max="19" width="12.109375" style="3" bestFit="1" customWidth="1"/>
    <col min="20" max="20" width="21.77734375" style="3" bestFit="1" customWidth="1"/>
    <col min="21" max="21" width="27.5546875" style="3" bestFit="1" customWidth="1"/>
    <col min="22" max="23" width="12.109375" style="3" bestFit="1" customWidth="1"/>
    <col min="24" max="24" width="13.21875" style="3" bestFit="1" customWidth="1"/>
    <col min="25" max="25" width="12.109375" style="3" bestFit="1" customWidth="1"/>
    <col min="26" max="26" width="13.21875" style="3" bestFit="1" customWidth="1"/>
    <col min="27" max="27" width="17" style="3"/>
    <col min="28" max="28" width="27.5546875" style="3" bestFit="1" customWidth="1"/>
    <col min="29" max="29" width="25.77734375" style="3" bestFit="1" customWidth="1"/>
    <col min="30" max="30" width="21.5546875" style="3" bestFit="1" customWidth="1"/>
    <col min="31" max="31" width="20.5546875" style="3" customWidth="1"/>
    <col min="32" max="32" width="12.109375" style="3" bestFit="1" customWidth="1"/>
    <col min="33" max="37" width="17" style="3"/>
    <col min="38" max="38" width="17" style="4"/>
    <col min="39" max="16384" width="17" style="3"/>
  </cols>
  <sheetData>
    <row r="1" spans="1:56" s="31" customFormat="1" x14ac:dyDescent="0.3">
      <c r="B1" s="50" t="s">
        <v>53</v>
      </c>
      <c r="C1" s="50"/>
      <c r="D1" s="50"/>
      <c r="E1" s="30"/>
      <c r="F1" s="43"/>
      <c r="G1" s="31" t="s">
        <v>52</v>
      </c>
      <c r="AL1" s="4"/>
    </row>
    <row r="2" spans="1:56" x14ac:dyDescent="0.3">
      <c r="B2" s="50" t="s">
        <v>39</v>
      </c>
      <c r="C2" s="50"/>
      <c r="D2" s="50"/>
      <c r="E2" s="30"/>
      <c r="F2" s="43"/>
      <c r="G2" s="3" t="s">
        <v>38</v>
      </c>
    </row>
    <row r="3" spans="1:56" x14ac:dyDescent="0.3">
      <c r="B3" s="24"/>
      <c r="C3" s="24" t="s">
        <v>51</v>
      </c>
      <c r="D3" s="24"/>
      <c r="E3" s="30"/>
      <c r="F3" s="43"/>
      <c r="G3" s="3" t="s">
        <v>54</v>
      </c>
    </row>
    <row r="4" spans="1:56" s="31" customFormat="1" x14ac:dyDescent="0.3">
      <c r="B4" s="30"/>
      <c r="C4" s="30" t="s">
        <v>55</v>
      </c>
      <c r="D4" s="30"/>
      <c r="E4" s="30"/>
      <c r="F4" s="43"/>
      <c r="G4" s="31" t="s">
        <v>54</v>
      </c>
      <c r="AL4" s="4"/>
    </row>
    <row r="5" spans="1:56" s="38" customFormat="1" x14ac:dyDescent="0.3">
      <c r="B5" s="43"/>
      <c r="C5" s="43" t="s">
        <v>56</v>
      </c>
      <c r="D5" s="43"/>
      <c r="E5" s="43"/>
      <c r="F5" s="43"/>
      <c r="G5" s="38" t="s">
        <v>54</v>
      </c>
      <c r="AL5" s="4"/>
    </row>
    <row r="7" spans="1:56" s="7" customFormat="1" ht="18.75" customHeight="1" x14ac:dyDescent="0.3">
      <c r="B7" s="5"/>
      <c r="C7" s="52" t="s">
        <v>29</v>
      </c>
      <c r="D7" s="52"/>
      <c r="E7" s="32"/>
      <c r="F7" s="44"/>
      <c r="G7" s="5"/>
      <c r="H7" s="51" t="s">
        <v>28</v>
      </c>
      <c r="I7" s="51"/>
      <c r="J7" s="51"/>
      <c r="K7" s="51"/>
      <c r="L7" s="51" t="s">
        <v>31</v>
      </c>
      <c r="M7" s="51"/>
      <c r="N7" s="51"/>
      <c r="O7" s="51"/>
      <c r="P7" s="51" t="s">
        <v>32</v>
      </c>
      <c r="Q7" s="51"/>
      <c r="R7" s="51"/>
      <c r="S7" s="51"/>
      <c r="T7" s="5"/>
      <c r="U7" s="5"/>
      <c r="V7" s="51" t="s">
        <v>30</v>
      </c>
      <c r="W7" s="51"/>
      <c r="X7" s="51"/>
      <c r="Y7" s="51"/>
      <c r="Z7" s="51"/>
      <c r="AA7" s="51" t="s">
        <v>33</v>
      </c>
      <c r="AB7" s="51"/>
      <c r="AC7" s="51"/>
      <c r="AD7" s="51"/>
      <c r="AE7" s="51"/>
      <c r="AF7" s="5"/>
      <c r="AG7" s="5"/>
      <c r="AH7" s="5"/>
      <c r="AI7" s="5"/>
      <c r="AJ7" s="5"/>
      <c r="AK7" s="5"/>
      <c r="AL7" s="6"/>
    </row>
    <row r="8" spans="1:56" s="7" customFormat="1" ht="37.799999999999997" customHeight="1" x14ac:dyDescent="0.3">
      <c r="B8" s="8" t="s">
        <v>0</v>
      </c>
      <c r="C8" s="9" t="s">
        <v>35</v>
      </c>
      <c r="D8" s="10" t="s">
        <v>40</v>
      </c>
      <c r="E8" s="10" t="s">
        <v>55</v>
      </c>
      <c r="F8" s="10" t="s">
        <v>56</v>
      </c>
      <c r="G8" s="11" t="s">
        <v>1</v>
      </c>
      <c r="H8" s="12" t="s">
        <v>36</v>
      </c>
      <c r="I8" s="13" t="s">
        <v>37</v>
      </c>
      <c r="J8" s="13" t="s">
        <v>38</v>
      </c>
      <c r="K8" s="10" t="s">
        <v>41</v>
      </c>
      <c r="L8" s="13" t="s">
        <v>42</v>
      </c>
      <c r="M8" s="13" t="s">
        <v>2</v>
      </c>
      <c r="N8" s="13" t="s">
        <v>3</v>
      </c>
      <c r="O8" s="13" t="s">
        <v>4</v>
      </c>
      <c r="P8" s="13" t="s">
        <v>43</v>
      </c>
      <c r="Q8" s="13" t="s">
        <v>44</v>
      </c>
      <c r="R8" s="13" t="s">
        <v>8</v>
      </c>
      <c r="S8" s="13" t="s">
        <v>5</v>
      </c>
      <c r="T8" s="11" t="s">
        <v>6</v>
      </c>
      <c r="U8" s="13" t="s">
        <v>7</v>
      </c>
      <c r="V8" s="10" t="s">
        <v>13</v>
      </c>
      <c r="W8" s="10" t="s">
        <v>14</v>
      </c>
      <c r="X8" s="13" t="s">
        <v>45</v>
      </c>
      <c r="Y8" s="10" t="s">
        <v>46</v>
      </c>
      <c r="Z8" s="10" t="s">
        <v>47</v>
      </c>
      <c r="AA8" s="10" t="s">
        <v>48</v>
      </c>
      <c r="AB8" s="10" t="s">
        <v>15</v>
      </c>
      <c r="AC8" s="10" t="s">
        <v>16</v>
      </c>
      <c r="AD8" s="11" t="s">
        <v>17</v>
      </c>
      <c r="AE8" s="10" t="s">
        <v>26</v>
      </c>
      <c r="AF8" s="10" t="s">
        <v>18</v>
      </c>
      <c r="AG8" s="10" t="s">
        <v>20</v>
      </c>
      <c r="AH8" s="10" t="s">
        <v>21</v>
      </c>
      <c r="AI8" s="10" t="s">
        <v>27</v>
      </c>
      <c r="AJ8" s="11" t="s">
        <v>22</v>
      </c>
      <c r="AK8" s="11" t="s">
        <v>24</v>
      </c>
      <c r="AL8" s="14" t="s">
        <v>25</v>
      </c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</row>
    <row r="9" spans="1:56" ht="15" customHeight="1" x14ac:dyDescent="0.25">
      <c r="A9" s="3">
        <v>0</v>
      </c>
      <c r="B9" s="16">
        <v>2024</v>
      </c>
      <c r="C9" s="17">
        <f>(B$36*(1+C$41)^A9)*0.8</f>
        <v>512000</v>
      </c>
      <c r="D9" s="41">
        <v>637452800</v>
      </c>
      <c r="E9" s="25">
        <f>IF(G$4="Si",39*6*7000,0)</f>
        <v>1638000</v>
      </c>
      <c r="F9" s="25">
        <f>IF(G$5="Si",4229643.07357957,0)</f>
        <v>4229643.0735795703</v>
      </c>
      <c r="G9" s="27">
        <f>D9+E9+F9</f>
        <v>643320443.07357955</v>
      </c>
      <c r="H9" s="28">
        <f>IF(G$1="Si",0,77391659.6425561)</f>
        <v>77391659.642556101</v>
      </c>
      <c r="I9" s="5">
        <f>IF(G$2="Aire",0,0)</f>
        <v>0</v>
      </c>
      <c r="J9" s="34">
        <f t="shared" ref="J9:J33" si="0">IF(G$2="Aire",0,1217065590.7838*(1+C$41)^A10)</f>
        <v>1253577558.507314</v>
      </c>
      <c r="K9" s="33">
        <f>IF(G$2="Aire",H9,(H9+J9))</f>
        <v>1330969218.1498702</v>
      </c>
      <c r="L9" s="5">
        <f>($E$36*C9/$B$36)/C9</f>
        <v>3193.0093135026873</v>
      </c>
      <c r="M9" s="33">
        <f>(K9+L9)*9/91</f>
        <v>131634634.0706885</v>
      </c>
      <c r="N9" s="33">
        <f>K9+L9+M9</f>
        <v>1462607045.2298722</v>
      </c>
      <c r="O9" s="33">
        <f>N9*C9</f>
        <v>748854807157694.63</v>
      </c>
      <c r="P9" s="5">
        <f>0.01*AC38</f>
        <v>20441659.606417201</v>
      </c>
      <c r="Q9" s="5">
        <v>819270239.85536003</v>
      </c>
      <c r="R9" s="5">
        <f>(P9+Q9)*8/92</f>
        <v>73018426.040154546</v>
      </c>
      <c r="S9" s="5">
        <f>P9+Q9+R9</f>
        <v>912730325.50193179</v>
      </c>
      <c r="T9" s="40">
        <f>G9*0.4</f>
        <v>257328177.22943184</v>
      </c>
      <c r="U9" s="35">
        <f>G9-T9</f>
        <v>385992265.84414768</v>
      </c>
      <c r="V9" s="5">
        <f t="shared" ref="V9:V33" si="1">($AC$38-$AF$38)/10</f>
        <v>183974936.45775479</v>
      </c>
      <c r="W9" s="5">
        <f>V9</f>
        <v>183974936.45775479</v>
      </c>
      <c r="X9" s="19">
        <f t="shared" ref="X9:X33" si="2">$AC$35-W9</f>
        <v>2489165165.919879</v>
      </c>
      <c r="Y9" s="5">
        <f>AC37*(1.048)</f>
        <v>494373675.4044283</v>
      </c>
      <c r="Z9" s="5">
        <f>Y9+X9</f>
        <v>2983538841.3243074</v>
      </c>
      <c r="AA9" s="5">
        <f>IF(G$3="Si",Z9*0.13,0)</f>
        <v>387860049.37215996</v>
      </c>
      <c r="AB9" s="35">
        <f>IF(G$3="Si",U9-V9,0)</f>
        <v>202017329.38639289</v>
      </c>
      <c r="AC9" s="35">
        <f>AB9*0.35</f>
        <v>70706065.285237506</v>
      </c>
      <c r="AD9" s="27">
        <f>U9-AA9-AC9</f>
        <v>-72573848.813249782</v>
      </c>
      <c r="AE9" s="5">
        <f>Z9</f>
        <v>2983538841.3243074</v>
      </c>
      <c r="AF9" s="5">
        <v>0</v>
      </c>
      <c r="AG9" s="36">
        <f t="shared" ref="AG9:AG19" si="3">AD9/((1+$AF$35)^AF9)</f>
        <v>-72573848.813249782</v>
      </c>
      <c r="AH9" s="5">
        <f>AG9</f>
        <v>-72573848.813249782</v>
      </c>
      <c r="AI9" s="5">
        <f t="shared" ref="AI9:AI19" si="4">AE9/((1+$AF$35)^AF9)</f>
        <v>2983538841.3243074</v>
      </c>
      <c r="AJ9" s="18">
        <f t="shared" ref="AJ9:AJ19" si="5">AH9+AI9-$AC$36</f>
        <v>-233905716.16851139</v>
      </c>
      <c r="AK9" s="18">
        <f>AJ9/3999</f>
        <v>-58491.051805079114</v>
      </c>
      <c r="AL9" s="20">
        <f>AK9/(10^6)</f>
        <v>-5.8491051805079117E-2</v>
      </c>
    </row>
    <row r="10" spans="1:56" ht="15" x14ac:dyDescent="0.25">
      <c r="A10" s="3">
        <v>1</v>
      </c>
      <c r="B10" s="16">
        <v>2025</v>
      </c>
      <c r="C10" s="17">
        <f t="shared" ref="C10:C19" si="6">C$9*(1+C$41)^A10</f>
        <v>527360</v>
      </c>
      <c r="D10" s="37">
        <f>D9*1.07</f>
        <v>682074496</v>
      </c>
      <c r="E10" s="25">
        <f t="shared" ref="E10:E33" si="7">IF(G$4="Si",39*6*7000,0)</f>
        <v>1638000</v>
      </c>
      <c r="F10" s="25">
        <f>F9*1.07</f>
        <v>4525718.0887301406</v>
      </c>
      <c r="G10" s="27">
        <f t="shared" ref="G10:G33" si="8">D10+E10+F10</f>
        <v>688238214.0887301</v>
      </c>
      <c r="H10" s="29">
        <f t="shared" ref="H10:H19" si="9">H$9*(1+C$41)^A10</f>
        <v>79713409.43183279</v>
      </c>
      <c r="I10" s="5">
        <f t="shared" ref="I10:I33" si="10">IF(G$2="Aire",0,0)</f>
        <v>0</v>
      </c>
      <c r="J10" s="34">
        <f t="shared" si="0"/>
        <v>1291184885.2625332</v>
      </c>
      <c r="K10" s="33">
        <f t="shared" ref="K10:K33" si="11">IF(G$2="Aire",H10,(H10+J10))</f>
        <v>1370898294.694366</v>
      </c>
      <c r="L10" s="5">
        <f t="shared" ref="L10:L19" si="12">((($E$36*C9/$B$36))*((1+4%)^(A10)))/C10</f>
        <v>3224.0094039250434</v>
      </c>
      <c r="M10" s="33">
        <f>(K10+L10)*9/91</f>
        <v>135583666.68498823</v>
      </c>
      <c r="N10" s="33">
        <f t="shared" ref="N10:N33" si="13">K10+L10+M10</f>
        <v>1506485185.3887582</v>
      </c>
      <c r="O10" s="33">
        <f t="shared" ref="O10:O33" si="14">N10*C10</f>
        <v>794460027366615.5</v>
      </c>
      <c r="P10" s="5">
        <f>P9*(1+4%)</f>
        <v>21259325.990673888</v>
      </c>
      <c r="Q10" s="5">
        <f>Q9*(1+4%)</f>
        <v>852041049.44957447</v>
      </c>
      <c r="R10" s="5">
        <f t="shared" ref="R10:R33" si="15">(P10+Q10)*8/92</f>
        <v>75939163.081760734</v>
      </c>
      <c r="S10" s="5">
        <f t="shared" ref="S10:S33" si="16">P10+Q10+R10</f>
        <v>949239538.52200913</v>
      </c>
      <c r="T10" s="40">
        <f t="shared" ref="T10:T33" si="17">G10*0.4</f>
        <v>275295285.63549203</v>
      </c>
      <c r="U10" s="35">
        <f t="shared" ref="U10:U33" si="18">G10-T10</f>
        <v>412942928.45323807</v>
      </c>
      <c r="V10" s="5">
        <f t="shared" si="1"/>
        <v>183974936.45775479</v>
      </c>
      <c r="W10" s="5">
        <f>V10+W9</f>
        <v>367949872.91550958</v>
      </c>
      <c r="X10" s="21">
        <f t="shared" si="2"/>
        <v>2305190229.4621239</v>
      </c>
      <c r="Y10" s="3">
        <f>Y9*(1+4%)</f>
        <v>514148622.42060548</v>
      </c>
      <c r="Z10" s="5">
        <f t="shared" ref="Z10:Z33" si="19">Y10+X10</f>
        <v>2819338851.8827295</v>
      </c>
      <c r="AA10" s="5">
        <f t="shared" ref="AA10:AA33" si="20">IF(G$3="Si",Z10*0.13,0)</f>
        <v>366514050.74475485</v>
      </c>
      <c r="AB10" s="35">
        <f t="shared" ref="AB10:AB33" si="21">IF(G$3="Si",U10-V10,0)</f>
        <v>228967991.99548328</v>
      </c>
      <c r="AC10" s="5">
        <f t="shared" ref="AC10:AC33" si="22">AB10*0.35</f>
        <v>80138797.198419139</v>
      </c>
      <c r="AD10" s="18">
        <f t="shared" ref="AD10:AD33" si="23">U10-AA10-AC10</f>
        <v>-33709919.48993592</v>
      </c>
      <c r="AE10" s="5">
        <f t="shared" ref="AE10:AE33" si="24">Z10</f>
        <v>2819338851.8827295</v>
      </c>
      <c r="AF10" s="5">
        <v>1</v>
      </c>
      <c r="AG10" s="36">
        <f t="shared" si="3"/>
        <v>-15322690.677243598</v>
      </c>
      <c r="AH10" s="5">
        <f>AG10+AH9</f>
        <v>-87896539.490493387</v>
      </c>
      <c r="AI10" s="5">
        <f t="shared" si="4"/>
        <v>1281517659.9466951</v>
      </c>
      <c r="AJ10" s="18">
        <f t="shared" si="5"/>
        <v>-1951249588.2233675</v>
      </c>
      <c r="AK10" s="18">
        <f t="shared" ref="AK10:AK33" si="25">AJ10/3999</f>
        <v>-487934.38065100461</v>
      </c>
      <c r="AL10" s="20">
        <f t="shared" ref="AL10:AL33" si="26">AK10/(10^6)</f>
        <v>-0.48793438065100464</v>
      </c>
    </row>
    <row r="11" spans="1:56" ht="15" x14ac:dyDescent="0.25">
      <c r="A11" s="3">
        <v>2</v>
      </c>
      <c r="B11" s="16">
        <v>2026</v>
      </c>
      <c r="C11" s="17">
        <f t="shared" si="6"/>
        <v>543180.79999999993</v>
      </c>
      <c r="D11" s="37">
        <f>D10*1.07</f>
        <v>729819710.72000003</v>
      </c>
      <c r="E11" s="25">
        <f t="shared" si="7"/>
        <v>1638000</v>
      </c>
      <c r="F11" s="25">
        <f t="shared" ref="F11:F33" si="27">F10*1.07</f>
        <v>4842518.3549412508</v>
      </c>
      <c r="G11" s="27">
        <f t="shared" si="8"/>
        <v>736300229.07494128</v>
      </c>
      <c r="H11" s="29">
        <f t="shared" si="9"/>
        <v>82104811.714787766</v>
      </c>
      <c r="I11" s="5">
        <f t="shared" si="10"/>
        <v>0</v>
      </c>
      <c r="J11" s="34">
        <f t="shared" si="0"/>
        <v>1329920431.8204093</v>
      </c>
      <c r="K11" s="33">
        <f t="shared" si="11"/>
        <v>1412025243.535197</v>
      </c>
      <c r="L11" s="5">
        <f t="shared" si="12"/>
        <v>3352.9697800820463</v>
      </c>
      <c r="M11" s="33">
        <f t="shared" ref="M11:M33" si="28">(K11+L11)*9/91</f>
        <v>139651179.8741186</v>
      </c>
      <c r="N11" s="33">
        <f t="shared" si="13"/>
        <v>1551679776.3790956</v>
      </c>
      <c r="O11" s="33">
        <f t="shared" si="14"/>
        <v>842842662277418.13</v>
      </c>
      <c r="P11" s="5">
        <f t="shared" ref="P11:P33" si="29">P10*(1+4%)</f>
        <v>22109699.030300844</v>
      </c>
      <c r="Q11" s="5">
        <f t="shared" ref="Q11:Q33" si="30">Q10*(1+4%)</f>
        <v>886122691.42755747</v>
      </c>
      <c r="R11" s="5">
        <f t="shared" si="15"/>
        <v>78976729.605031163</v>
      </c>
      <c r="S11" s="5">
        <f t="shared" si="16"/>
        <v>987209120.06288946</v>
      </c>
      <c r="T11" s="40">
        <f t="shared" si="17"/>
        <v>294520091.62997651</v>
      </c>
      <c r="U11" s="35">
        <f t="shared" si="18"/>
        <v>441780137.44496477</v>
      </c>
      <c r="V11" s="5">
        <f t="shared" si="1"/>
        <v>183974936.45775479</v>
      </c>
      <c r="W11" s="5">
        <f>V11+W10</f>
        <v>551924809.37326431</v>
      </c>
      <c r="X11" s="21">
        <f t="shared" si="2"/>
        <v>2121215293.0043693</v>
      </c>
      <c r="Y11" s="3">
        <f t="shared" ref="Y11:Y18" si="31">Y10*(1+4%)</f>
        <v>534714567.31742972</v>
      </c>
      <c r="Z11" s="5">
        <f t="shared" si="19"/>
        <v>2655929860.3217988</v>
      </c>
      <c r="AA11" s="5">
        <f t="shared" si="20"/>
        <v>345270881.84183383</v>
      </c>
      <c r="AB11" s="35">
        <f t="shared" si="21"/>
        <v>257805200.98720998</v>
      </c>
      <c r="AC11" s="5">
        <f t="shared" si="22"/>
        <v>90231820.345523492</v>
      </c>
      <c r="AD11" s="18">
        <f t="shared" si="23"/>
        <v>6277435.2576074451</v>
      </c>
      <c r="AE11" s="5">
        <f t="shared" si="24"/>
        <v>2655929860.3217988</v>
      </c>
      <c r="AF11" s="5">
        <v>2</v>
      </c>
      <c r="AG11" s="36">
        <f t="shared" si="3"/>
        <v>1296990.7557040174</v>
      </c>
      <c r="AH11" s="5">
        <f t="shared" ref="AH11:AH33" si="32">AG11+AH10</f>
        <v>-86599548.734789371</v>
      </c>
      <c r="AI11" s="5">
        <f t="shared" si="4"/>
        <v>548745838.90946245</v>
      </c>
      <c r="AJ11" s="18">
        <f t="shared" si="5"/>
        <v>-2682724418.5048962</v>
      </c>
      <c r="AK11" s="18">
        <f t="shared" si="25"/>
        <v>-670848.81683043169</v>
      </c>
      <c r="AL11" s="20">
        <f t="shared" si="26"/>
        <v>-0.67084881683043174</v>
      </c>
    </row>
    <row r="12" spans="1:56" ht="15" x14ac:dyDescent="0.25">
      <c r="A12" s="3">
        <v>3</v>
      </c>
      <c r="B12" s="16">
        <v>2027</v>
      </c>
      <c r="C12" s="17">
        <f t="shared" si="6"/>
        <v>559476.22400000005</v>
      </c>
      <c r="D12" s="37">
        <f t="shared" ref="D12:D33" si="33">D11*1.07</f>
        <v>780907090.47040009</v>
      </c>
      <c r="E12" s="25">
        <f t="shared" si="7"/>
        <v>1638000</v>
      </c>
      <c r="F12" s="25">
        <f t="shared" si="27"/>
        <v>5181494.6397871384</v>
      </c>
      <c r="G12" s="27">
        <f t="shared" si="8"/>
        <v>787726585.11018729</v>
      </c>
      <c r="H12" s="29">
        <f t="shared" si="9"/>
        <v>84567956.0662314</v>
      </c>
      <c r="I12" s="5">
        <f t="shared" si="10"/>
        <v>0</v>
      </c>
      <c r="J12" s="34">
        <f t="shared" si="0"/>
        <v>1369818044.7750216</v>
      </c>
      <c r="K12" s="33">
        <f t="shared" si="11"/>
        <v>1454386000.841253</v>
      </c>
      <c r="L12" s="5">
        <f t="shared" si="12"/>
        <v>3487.0885712853274</v>
      </c>
      <c r="M12" s="33">
        <f t="shared" si="28"/>
        <v>143840718.58646616</v>
      </c>
      <c r="N12" s="33">
        <f t="shared" si="13"/>
        <v>1598230206.5162904</v>
      </c>
      <c r="O12" s="33">
        <f t="shared" si="14"/>
        <v>894171801024474.38</v>
      </c>
      <c r="P12" s="5">
        <f t="shared" si="29"/>
        <v>22994086.99151288</v>
      </c>
      <c r="Q12" s="5">
        <f t="shared" si="30"/>
        <v>921567599.08465981</v>
      </c>
      <c r="R12" s="5">
        <f t="shared" si="15"/>
        <v>82135798.789232403</v>
      </c>
      <c r="S12" s="5">
        <f t="shared" si="16"/>
        <v>1026697484.8654051</v>
      </c>
      <c r="T12" s="40">
        <f t="shared" si="17"/>
        <v>315090634.04407495</v>
      </c>
      <c r="U12" s="35">
        <f t="shared" si="18"/>
        <v>472635951.06611234</v>
      </c>
      <c r="V12" s="5">
        <f t="shared" si="1"/>
        <v>183974936.45775479</v>
      </c>
      <c r="W12" s="5">
        <f t="shared" ref="W12:W18" si="34">V12+W11</f>
        <v>735899745.83101916</v>
      </c>
      <c r="X12" s="21">
        <f t="shared" si="2"/>
        <v>1937240356.5466144</v>
      </c>
      <c r="Y12" s="3">
        <f t="shared" si="31"/>
        <v>556103150.01012695</v>
      </c>
      <c r="Z12" s="5">
        <f t="shared" si="19"/>
        <v>2493343506.5567412</v>
      </c>
      <c r="AA12" s="5">
        <f t="shared" si="20"/>
        <v>324134655.8523764</v>
      </c>
      <c r="AB12" s="35">
        <f t="shared" si="21"/>
        <v>288661014.60835755</v>
      </c>
      <c r="AC12" s="5">
        <f t="shared" si="22"/>
        <v>101031355.11292514</v>
      </c>
      <c r="AD12" s="18">
        <f t="shared" si="23"/>
        <v>47469940.100810796</v>
      </c>
      <c r="AE12" s="5">
        <f t="shared" si="24"/>
        <v>2493343506.5567412</v>
      </c>
      <c r="AF12" s="5">
        <v>3</v>
      </c>
      <c r="AG12" s="36">
        <f t="shared" si="3"/>
        <v>4458108.574456309</v>
      </c>
      <c r="AH12" s="5">
        <f t="shared" si="32"/>
        <v>-82141440.160333067</v>
      </c>
      <c r="AI12" s="5">
        <f t="shared" si="4"/>
        <v>234160735.02598989</v>
      </c>
      <c r="AJ12" s="18">
        <f t="shared" si="5"/>
        <v>-2992851413.8139124</v>
      </c>
      <c r="AK12" s="18">
        <f t="shared" si="25"/>
        <v>-748399.9534418385</v>
      </c>
      <c r="AL12" s="20">
        <f t="shared" si="26"/>
        <v>-0.74839995344183852</v>
      </c>
    </row>
    <row r="13" spans="1:56" ht="15" x14ac:dyDescent="0.25">
      <c r="A13" s="3">
        <v>4</v>
      </c>
      <c r="B13" s="16">
        <v>2028</v>
      </c>
      <c r="C13" s="17">
        <f t="shared" si="6"/>
        <v>576260.5107199999</v>
      </c>
      <c r="D13" s="37">
        <f t="shared" si="33"/>
        <v>835570586.80332816</v>
      </c>
      <c r="E13" s="25">
        <f t="shared" si="7"/>
        <v>1638000</v>
      </c>
      <c r="F13" s="25">
        <f t="shared" si="27"/>
        <v>5544199.2645722385</v>
      </c>
      <c r="G13" s="27">
        <f t="shared" si="8"/>
        <v>842752786.06790042</v>
      </c>
      <c r="H13" s="29">
        <f t="shared" si="9"/>
        <v>87104994.748218343</v>
      </c>
      <c r="I13" s="5">
        <f t="shared" si="10"/>
        <v>0</v>
      </c>
      <c r="J13" s="34">
        <f t="shared" si="0"/>
        <v>1410912586.1182721</v>
      </c>
      <c r="K13" s="33">
        <f t="shared" si="11"/>
        <v>1498017580.8664904</v>
      </c>
      <c r="L13" s="5">
        <f t="shared" si="12"/>
        <v>3626.5721141367421</v>
      </c>
      <c r="M13" s="33">
        <f t="shared" si="28"/>
        <v>148155943.59282902</v>
      </c>
      <c r="N13" s="33">
        <f t="shared" si="13"/>
        <v>1646177151.0314336</v>
      </c>
      <c r="O13" s="33">
        <f t="shared" si="14"/>
        <v>948626885788968.38</v>
      </c>
      <c r="P13" s="5">
        <f t="shared" si="29"/>
        <v>23913850.471173394</v>
      </c>
      <c r="Q13" s="5">
        <f t="shared" si="30"/>
        <v>958430303.04804623</v>
      </c>
      <c r="R13" s="5">
        <f t="shared" si="15"/>
        <v>85421230.740801707</v>
      </c>
      <c r="S13" s="5">
        <f t="shared" si="16"/>
        <v>1067765384.2600213</v>
      </c>
      <c r="T13" s="40">
        <f t="shared" si="17"/>
        <v>337101114.4271602</v>
      </c>
      <c r="U13" s="35">
        <f t="shared" si="18"/>
        <v>505651671.64074022</v>
      </c>
      <c r="V13" s="5">
        <f t="shared" si="1"/>
        <v>183974936.45775479</v>
      </c>
      <c r="W13" s="5">
        <f t="shared" si="34"/>
        <v>919874682.28877401</v>
      </c>
      <c r="X13" s="21">
        <f t="shared" si="2"/>
        <v>1753265420.0888596</v>
      </c>
      <c r="Y13" s="3">
        <f t="shared" si="31"/>
        <v>578347276.01053202</v>
      </c>
      <c r="Z13" s="5">
        <f t="shared" si="19"/>
        <v>2331612696.0993915</v>
      </c>
      <c r="AA13" s="5">
        <f t="shared" si="20"/>
        <v>303109650.49292088</v>
      </c>
      <c r="AB13" s="35">
        <f t="shared" si="21"/>
        <v>321676735.18298542</v>
      </c>
      <c r="AC13" s="5">
        <f t="shared" si="22"/>
        <v>112586857.31404489</v>
      </c>
      <c r="AD13" s="18">
        <f t="shared" si="23"/>
        <v>89955163.833774447</v>
      </c>
      <c r="AE13" s="5">
        <f t="shared" si="24"/>
        <v>2331612696.0993915</v>
      </c>
      <c r="AF13" s="5">
        <v>4</v>
      </c>
      <c r="AG13" s="36">
        <f t="shared" si="3"/>
        <v>3840036.7048773319</v>
      </c>
      <c r="AH13" s="5">
        <f t="shared" si="32"/>
        <v>-78301403.455455735</v>
      </c>
      <c r="AI13" s="5">
        <f t="shared" si="4"/>
        <v>99532677.758494586</v>
      </c>
      <c r="AJ13" s="18">
        <f t="shared" si="5"/>
        <v>-3123639434.3765302</v>
      </c>
      <c r="AK13" s="18">
        <f t="shared" si="25"/>
        <v>-781105.13487785205</v>
      </c>
      <c r="AL13" s="20">
        <f t="shared" si="26"/>
        <v>-0.78110513487785205</v>
      </c>
    </row>
    <row r="14" spans="1:56" ht="15" x14ac:dyDescent="0.25">
      <c r="A14" s="3">
        <v>5</v>
      </c>
      <c r="B14" s="16">
        <v>2029</v>
      </c>
      <c r="C14" s="17">
        <f t="shared" si="6"/>
        <v>593548.32604159997</v>
      </c>
      <c r="D14" s="37">
        <f t="shared" si="33"/>
        <v>894060527.87956119</v>
      </c>
      <c r="E14" s="25">
        <f t="shared" si="7"/>
        <v>1638000</v>
      </c>
      <c r="F14" s="25">
        <f t="shared" si="27"/>
        <v>5932293.2130922955</v>
      </c>
      <c r="G14" s="27">
        <f t="shared" si="8"/>
        <v>901630821.09265351</v>
      </c>
      <c r="H14" s="29">
        <f t="shared" si="9"/>
        <v>89718144.590664878</v>
      </c>
      <c r="I14" s="5">
        <f t="shared" si="10"/>
        <v>0</v>
      </c>
      <c r="J14" s="34">
        <f t="shared" si="0"/>
        <v>1453239963.7018204</v>
      </c>
      <c r="K14" s="33">
        <f t="shared" si="11"/>
        <v>1542958108.2924852</v>
      </c>
      <c r="L14" s="5">
        <f t="shared" si="12"/>
        <v>3771.6349987022104</v>
      </c>
      <c r="M14" s="33">
        <f t="shared" si="28"/>
        <v>152600625.4873336</v>
      </c>
      <c r="N14" s="33">
        <f t="shared" si="13"/>
        <v>1695562505.4148176</v>
      </c>
      <c r="O14" s="33">
        <f t="shared" si="14"/>
        <v>1006398286787866.3</v>
      </c>
      <c r="P14" s="5">
        <f t="shared" si="29"/>
        <v>24870404.490020331</v>
      </c>
      <c r="Q14" s="5">
        <f t="shared" si="30"/>
        <v>996767515.16996813</v>
      </c>
      <c r="R14" s="5">
        <f t="shared" si="15"/>
        <v>88838079.970433772</v>
      </c>
      <c r="S14" s="5">
        <f t="shared" si="16"/>
        <v>1110475999.6304221</v>
      </c>
      <c r="T14" s="40">
        <f t="shared" si="17"/>
        <v>360652328.43706143</v>
      </c>
      <c r="U14" s="35">
        <f t="shared" si="18"/>
        <v>540978492.65559208</v>
      </c>
      <c r="V14" s="5">
        <f t="shared" si="1"/>
        <v>183974936.45775479</v>
      </c>
      <c r="W14" s="5">
        <f t="shared" si="34"/>
        <v>1103849618.7465289</v>
      </c>
      <c r="X14" s="21">
        <f t="shared" si="2"/>
        <v>1569290483.6311047</v>
      </c>
      <c r="Y14" s="3">
        <f t="shared" si="31"/>
        <v>601481167.05095327</v>
      </c>
      <c r="Z14" s="5">
        <f t="shared" si="19"/>
        <v>2170771650.6820579</v>
      </c>
      <c r="AA14" s="5">
        <f t="shared" si="20"/>
        <v>282200314.58866751</v>
      </c>
      <c r="AB14" s="35">
        <f t="shared" si="21"/>
        <v>357003556.19783729</v>
      </c>
      <c r="AC14" s="5">
        <f t="shared" si="22"/>
        <v>124951244.66924304</v>
      </c>
      <c r="AD14" s="18">
        <f t="shared" si="23"/>
        <v>133826933.39768153</v>
      </c>
      <c r="AE14" s="5">
        <f t="shared" si="24"/>
        <v>2170771650.6820579</v>
      </c>
      <c r="AF14" s="5">
        <v>5</v>
      </c>
      <c r="AG14" s="36">
        <f t="shared" si="3"/>
        <v>2596749.8920699321</v>
      </c>
      <c r="AH14" s="5">
        <f t="shared" si="32"/>
        <v>-75704653.5633858</v>
      </c>
      <c r="AI14" s="5">
        <f t="shared" si="4"/>
        <v>42121200.168775283</v>
      </c>
      <c r="AJ14" s="18">
        <f t="shared" si="5"/>
        <v>-3178454162.0741796</v>
      </c>
      <c r="AK14" s="18">
        <f t="shared" si="25"/>
        <v>-794812.24357943982</v>
      </c>
      <c r="AL14" s="20">
        <f t="shared" si="26"/>
        <v>-0.7948122435794398</v>
      </c>
    </row>
    <row r="15" spans="1:56" ht="15" x14ac:dyDescent="0.25">
      <c r="A15" s="3">
        <v>6</v>
      </c>
      <c r="B15" s="16">
        <v>2030</v>
      </c>
      <c r="C15" s="17">
        <f t="shared" si="6"/>
        <v>611354.77582284797</v>
      </c>
      <c r="D15" s="37">
        <f t="shared" si="33"/>
        <v>956644764.8311305</v>
      </c>
      <c r="E15" s="25">
        <f t="shared" si="7"/>
        <v>1638000</v>
      </c>
      <c r="F15" s="25">
        <f t="shared" si="27"/>
        <v>6347553.7380087562</v>
      </c>
      <c r="G15" s="27">
        <f t="shared" si="8"/>
        <v>964630318.56913924</v>
      </c>
      <c r="H15" s="29">
        <f t="shared" si="9"/>
        <v>92409688.928384826</v>
      </c>
      <c r="I15" s="5">
        <f t="shared" si="10"/>
        <v>0</v>
      </c>
      <c r="J15" s="34">
        <f t="shared" si="0"/>
        <v>1496837162.612875</v>
      </c>
      <c r="K15" s="33">
        <f t="shared" si="11"/>
        <v>1589246851.5412598</v>
      </c>
      <c r="L15" s="5">
        <f t="shared" si="12"/>
        <v>3922.5003986502993</v>
      </c>
      <c r="M15" s="33">
        <f t="shared" si="28"/>
        <v>157178647.98214203</v>
      </c>
      <c r="N15" s="33">
        <f t="shared" si="13"/>
        <v>1746429422.0238004</v>
      </c>
      <c r="O15" s="33">
        <f t="shared" si="14"/>
        <v>1067687967791786.4</v>
      </c>
      <c r="P15" s="5">
        <f t="shared" si="29"/>
        <v>25865220.669621143</v>
      </c>
      <c r="Q15" s="5">
        <f t="shared" si="30"/>
        <v>1036638215.7767669</v>
      </c>
      <c r="R15" s="5">
        <f t="shared" si="15"/>
        <v>92391603.169251129</v>
      </c>
      <c r="S15" s="5">
        <f t="shared" si="16"/>
        <v>1154895039.6156392</v>
      </c>
      <c r="T15" s="40">
        <f t="shared" si="17"/>
        <v>385852127.4276557</v>
      </c>
      <c r="U15" s="35">
        <f t="shared" si="18"/>
        <v>578778191.14148355</v>
      </c>
      <c r="V15" s="5">
        <f t="shared" si="1"/>
        <v>183974936.45775479</v>
      </c>
      <c r="W15" s="5">
        <f t="shared" si="34"/>
        <v>1287824555.2042837</v>
      </c>
      <c r="X15" s="21">
        <f t="shared" si="2"/>
        <v>1385315547.1733499</v>
      </c>
      <c r="Y15" s="3">
        <f t="shared" si="31"/>
        <v>625540413.73299146</v>
      </c>
      <c r="Z15" s="5">
        <f t="shared" si="19"/>
        <v>2010855960.9063413</v>
      </c>
      <c r="AA15" s="5">
        <f t="shared" si="20"/>
        <v>261411274.91782439</v>
      </c>
      <c r="AB15" s="35">
        <f t="shared" si="21"/>
        <v>394803254.68372875</v>
      </c>
      <c r="AC15" s="5">
        <f t="shared" si="22"/>
        <v>138181139.13930506</v>
      </c>
      <c r="AD15" s="18">
        <f t="shared" si="23"/>
        <v>179185777.0843541</v>
      </c>
      <c r="AE15" s="5">
        <f t="shared" si="24"/>
        <v>2010855960.9063413</v>
      </c>
      <c r="AF15" s="5">
        <v>6</v>
      </c>
      <c r="AG15" s="36">
        <f t="shared" si="3"/>
        <v>1580401.559383522</v>
      </c>
      <c r="AH15" s="5">
        <f t="shared" si="32"/>
        <v>-74124252.004002273</v>
      </c>
      <c r="AI15" s="5">
        <f t="shared" si="4"/>
        <v>17735558.859763548</v>
      </c>
      <c r="AJ15" s="18">
        <f t="shared" si="5"/>
        <v>-3201259401.8238082</v>
      </c>
      <c r="AK15" s="18">
        <f t="shared" si="25"/>
        <v>-800514.97920075222</v>
      </c>
      <c r="AL15" s="20">
        <f t="shared" si="26"/>
        <v>-0.80051497920075221</v>
      </c>
    </row>
    <row r="16" spans="1:56" ht="15" x14ac:dyDescent="0.25">
      <c r="A16" s="3">
        <v>7</v>
      </c>
      <c r="B16" s="16">
        <v>2031</v>
      </c>
      <c r="C16" s="17">
        <f t="shared" si="6"/>
        <v>629695.41909753345</v>
      </c>
      <c r="D16" s="37">
        <f t="shared" si="33"/>
        <v>1023609898.3693097</v>
      </c>
      <c r="E16" s="25">
        <f t="shared" si="7"/>
        <v>1638000</v>
      </c>
      <c r="F16" s="25">
        <f t="shared" si="27"/>
        <v>6791882.4996693693</v>
      </c>
      <c r="G16" s="27">
        <f t="shared" si="8"/>
        <v>1032039780.868979</v>
      </c>
      <c r="H16" s="29">
        <f t="shared" si="9"/>
        <v>95181979.596236378</v>
      </c>
      <c r="I16" s="5">
        <f t="shared" si="10"/>
        <v>0</v>
      </c>
      <c r="J16" s="34">
        <f t="shared" si="0"/>
        <v>1541742277.491261</v>
      </c>
      <c r="K16" s="33">
        <f t="shared" si="11"/>
        <v>1636924257.0874975</v>
      </c>
      <c r="L16" s="5">
        <f t="shared" si="12"/>
        <v>4079.4004145963108</v>
      </c>
      <c r="M16" s="33">
        <f t="shared" si="28"/>
        <v>161894011.30100229</v>
      </c>
      <c r="N16" s="33">
        <f t="shared" si="13"/>
        <v>1798822347.7889144</v>
      </c>
      <c r="O16" s="33">
        <f t="shared" si="14"/>
        <v>1132710192172949.5</v>
      </c>
      <c r="P16" s="5">
        <f t="shared" si="29"/>
        <v>26899829.496405989</v>
      </c>
      <c r="Q16" s="5">
        <f t="shared" si="30"/>
        <v>1078103744.4078376</v>
      </c>
      <c r="R16" s="5">
        <f t="shared" si="15"/>
        <v>96087267.296021193</v>
      </c>
      <c r="S16" s="5">
        <f t="shared" si="16"/>
        <v>1201090841.2002649</v>
      </c>
      <c r="T16" s="40">
        <f t="shared" si="17"/>
        <v>412815912.34759164</v>
      </c>
      <c r="U16" s="35">
        <f t="shared" si="18"/>
        <v>619223868.52138734</v>
      </c>
      <c r="V16" s="5">
        <f t="shared" si="1"/>
        <v>183974936.45775479</v>
      </c>
      <c r="W16" s="5">
        <f t="shared" si="34"/>
        <v>1471799491.6620386</v>
      </c>
      <c r="X16" s="21">
        <f t="shared" si="2"/>
        <v>1201340610.715595</v>
      </c>
      <c r="Y16" s="3">
        <f t="shared" si="31"/>
        <v>650562030.28231108</v>
      </c>
      <c r="Z16" s="5">
        <f t="shared" si="19"/>
        <v>1851902640.9979062</v>
      </c>
      <c r="AA16" s="5">
        <f t="shared" si="20"/>
        <v>240747343.32972783</v>
      </c>
      <c r="AB16" s="35">
        <f t="shared" si="21"/>
        <v>435248932.06363255</v>
      </c>
      <c r="AC16" s="5">
        <f t="shared" si="22"/>
        <v>152337126.22227138</v>
      </c>
      <c r="AD16" s="18">
        <f t="shared" si="23"/>
        <v>226139398.96938813</v>
      </c>
      <c r="AE16" s="5">
        <f t="shared" si="24"/>
        <v>1851902640.9979062</v>
      </c>
      <c r="AF16" s="5">
        <v>7</v>
      </c>
      <c r="AG16" s="36">
        <f t="shared" si="3"/>
        <v>906603.65963245439</v>
      </c>
      <c r="AH16" s="5">
        <f t="shared" si="32"/>
        <v>-73217648.344369814</v>
      </c>
      <c r="AI16" s="5">
        <f t="shared" si="4"/>
        <v>7424366.2062575081</v>
      </c>
      <c r="AJ16" s="18">
        <f t="shared" si="5"/>
        <v>-3210663990.8176813</v>
      </c>
      <c r="AK16" s="18">
        <f t="shared" si="25"/>
        <v>-802866.71438301611</v>
      </c>
      <c r="AL16" s="20">
        <f t="shared" si="26"/>
        <v>-0.80286671438301616</v>
      </c>
    </row>
    <row r="17" spans="1:38" ht="15" x14ac:dyDescent="0.25">
      <c r="A17" s="3">
        <v>8</v>
      </c>
      <c r="B17" s="16">
        <v>2032</v>
      </c>
      <c r="C17" s="17">
        <f t="shared" si="6"/>
        <v>648586.28167045931</v>
      </c>
      <c r="D17" s="37">
        <f t="shared" si="33"/>
        <v>1095262591.2551613</v>
      </c>
      <c r="E17" s="25">
        <f t="shared" si="7"/>
        <v>1638000</v>
      </c>
      <c r="F17" s="25">
        <f t="shared" si="27"/>
        <v>7267314.2746462254</v>
      </c>
      <c r="G17" s="27">
        <f t="shared" si="8"/>
        <v>1104167905.5298076</v>
      </c>
      <c r="H17" s="29">
        <f t="shared" si="9"/>
        <v>98037438.984123468</v>
      </c>
      <c r="I17" s="5">
        <f t="shared" si="10"/>
        <v>0</v>
      </c>
      <c r="J17" s="34">
        <f t="shared" si="0"/>
        <v>1587994545.815999</v>
      </c>
      <c r="K17" s="33">
        <f t="shared" si="11"/>
        <v>1686031984.8001225</v>
      </c>
      <c r="L17" s="5">
        <f t="shared" si="12"/>
        <v>4242.5764311801649</v>
      </c>
      <c r="M17" s="33">
        <f t="shared" si="28"/>
        <v>166750835.67460424</v>
      </c>
      <c r="N17" s="33">
        <f t="shared" si="13"/>
        <v>1852787063.051158</v>
      </c>
      <c r="O17" s="33">
        <f t="shared" si="14"/>
        <v>1201692271951481.5</v>
      </c>
      <c r="P17" s="5">
        <f t="shared" si="29"/>
        <v>27975822.67626223</v>
      </c>
      <c r="Q17" s="5">
        <f t="shared" si="30"/>
        <v>1121227894.1841512</v>
      </c>
      <c r="R17" s="5">
        <f t="shared" si="15"/>
        <v>99930757.987862021</v>
      </c>
      <c r="S17" s="5">
        <f t="shared" si="16"/>
        <v>1249134474.8482754</v>
      </c>
      <c r="T17" s="40">
        <f t="shared" si="17"/>
        <v>441667162.21192306</v>
      </c>
      <c r="U17" s="35">
        <f t="shared" si="18"/>
        <v>662500743.31788445</v>
      </c>
      <c r="V17" s="5">
        <f t="shared" si="1"/>
        <v>183974936.45775479</v>
      </c>
      <c r="W17" s="5">
        <f t="shared" si="34"/>
        <v>1655774428.1197934</v>
      </c>
      <c r="X17" s="21">
        <f t="shared" si="2"/>
        <v>1017365674.2578402</v>
      </c>
      <c r="Y17" s="3">
        <f t="shared" si="31"/>
        <v>676584511.49360359</v>
      </c>
      <c r="Z17" s="5">
        <f t="shared" si="19"/>
        <v>1693950185.7514439</v>
      </c>
      <c r="AA17" s="5">
        <f t="shared" si="20"/>
        <v>220213524.1476877</v>
      </c>
      <c r="AB17" s="35">
        <f t="shared" si="21"/>
        <v>478525806.86012965</v>
      </c>
      <c r="AC17" s="5">
        <f t="shared" si="22"/>
        <v>167484032.40104538</v>
      </c>
      <c r="AD17" s="18">
        <f t="shared" si="23"/>
        <v>274803186.76915139</v>
      </c>
      <c r="AE17" s="5">
        <f t="shared" si="24"/>
        <v>1693950185.7514439</v>
      </c>
      <c r="AF17" s="5">
        <v>8</v>
      </c>
      <c r="AG17" s="36">
        <f t="shared" si="3"/>
        <v>500772.323175636</v>
      </c>
      <c r="AH17" s="5">
        <f t="shared" si="32"/>
        <v>-72716876.021194175</v>
      </c>
      <c r="AI17" s="5">
        <f t="shared" si="4"/>
        <v>3086876.0287527223</v>
      </c>
      <c r="AJ17" s="18">
        <f t="shared" si="5"/>
        <v>-3214500708.6720109</v>
      </c>
      <c r="AK17" s="18">
        <f t="shared" si="25"/>
        <v>-803826.13370142807</v>
      </c>
      <c r="AL17" s="20">
        <f t="shared" si="26"/>
        <v>-0.80382613370142808</v>
      </c>
    </row>
    <row r="18" spans="1:38" ht="15" x14ac:dyDescent="0.25">
      <c r="A18" s="3">
        <v>9</v>
      </c>
      <c r="B18" s="16">
        <v>2033</v>
      </c>
      <c r="C18" s="17">
        <f t="shared" si="6"/>
        <v>668043.87012057321</v>
      </c>
      <c r="D18" s="37">
        <f t="shared" si="33"/>
        <v>1171930972.6430225</v>
      </c>
      <c r="E18" s="25">
        <f t="shared" si="7"/>
        <v>1638000</v>
      </c>
      <c r="F18" s="25">
        <f t="shared" si="27"/>
        <v>7776026.2738714619</v>
      </c>
      <c r="G18" s="27">
        <f t="shared" si="8"/>
        <v>1181344998.916894</v>
      </c>
      <c r="H18" s="29">
        <f t="shared" si="9"/>
        <v>100978562.15364717</v>
      </c>
      <c r="I18" s="5">
        <f t="shared" si="10"/>
        <v>0</v>
      </c>
      <c r="J18" s="34">
        <f t="shared" si="0"/>
        <v>1635634382.1904788</v>
      </c>
      <c r="K18" s="33">
        <f t="shared" si="11"/>
        <v>1736612944.344126</v>
      </c>
      <c r="L18" s="5">
        <f t="shared" si="12"/>
        <v>4412.2794884273699</v>
      </c>
      <c r="M18" s="33">
        <f t="shared" si="28"/>
        <v>171753364.94079703</v>
      </c>
      <c r="N18" s="33">
        <f t="shared" si="13"/>
        <v>1908370721.5644114</v>
      </c>
      <c r="O18" s="33">
        <f t="shared" si="14"/>
        <v>1274875362458680.3</v>
      </c>
      <c r="P18" s="5">
        <f t="shared" si="29"/>
        <v>29094855.58331272</v>
      </c>
      <c r="Q18" s="5">
        <f t="shared" si="30"/>
        <v>1166077009.9515173</v>
      </c>
      <c r="R18" s="5">
        <f t="shared" si="15"/>
        <v>103927988.30737653</v>
      </c>
      <c r="S18" s="5">
        <f t="shared" si="16"/>
        <v>1299099853.8422067</v>
      </c>
      <c r="T18" s="40">
        <f t="shared" si="17"/>
        <v>472537999.56675762</v>
      </c>
      <c r="U18" s="35">
        <f t="shared" si="18"/>
        <v>708806999.35013628</v>
      </c>
      <c r="V18" s="5">
        <f t="shared" si="1"/>
        <v>183974936.45775479</v>
      </c>
      <c r="W18" s="5">
        <f t="shared" si="34"/>
        <v>1839749364.5775483</v>
      </c>
      <c r="X18" s="21">
        <f t="shared" si="2"/>
        <v>833390737.80008531</v>
      </c>
      <c r="Y18" s="3">
        <f t="shared" si="31"/>
        <v>703647891.9533478</v>
      </c>
      <c r="Z18" s="5">
        <f t="shared" si="19"/>
        <v>1537038629.7534332</v>
      </c>
      <c r="AA18" s="5">
        <f t="shared" si="20"/>
        <v>199815021.86794633</v>
      </c>
      <c r="AB18" s="35">
        <f t="shared" si="21"/>
        <v>524832062.89238149</v>
      </c>
      <c r="AC18" s="5">
        <f t="shared" si="22"/>
        <v>183691222.01233351</v>
      </c>
      <c r="AD18" s="18">
        <f t="shared" si="23"/>
        <v>325300755.46985644</v>
      </c>
      <c r="AE18" s="5">
        <f t="shared" si="24"/>
        <v>1537038629.7534332</v>
      </c>
      <c r="AF18" s="5">
        <v>9</v>
      </c>
      <c r="AG18" s="36">
        <f t="shared" si="3"/>
        <v>269451.71025300026</v>
      </c>
      <c r="AH18" s="5">
        <f t="shared" si="32"/>
        <v>-72447424.310941175</v>
      </c>
      <c r="AI18" s="5">
        <f t="shared" si="4"/>
        <v>1273153.1684080826</v>
      </c>
      <c r="AJ18" s="18">
        <f t="shared" si="5"/>
        <v>-3216044979.8221025</v>
      </c>
      <c r="AK18" s="18">
        <f t="shared" si="25"/>
        <v>-804212.29803003313</v>
      </c>
      <c r="AL18" s="20">
        <f t="shared" si="26"/>
        <v>-0.80421229803003313</v>
      </c>
    </row>
    <row r="19" spans="1:38" ht="15" x14ac:dyDescent="0.25">
      <c r="A19" s="3">
        <v>10</v>
      </c>
      <c r="B19" s="16">
        <v>2034</v>
      </c>
      <c r="C19" s="17">
        <f t="shared" si="6"/>
        <v>688085.1862241904</v>
      </c>
      <c r="D19" s="37">
        <f t="shared" si="33"/>
        <v>1253966140.7280343</v>
      </c>
      <c r="E19" s="25">
        <f t="shared" si="7"/>
        <v>1638000</v>
      </c>
      <c r="F19" s="25">
        <f t="shared" si="27"/>
        <v>8320348.1130424645</v>
      </c>
      <c r="G19" s="27">
        <f t="shared" si="8"/>
        <v>1263924488.8410766</v>
      </c>
      <c r="H19" s="29">
        <f t="shared" si="9"/>
        <v>104007919.01825659</v>
      </c>
      <c r="I19" s="5">
        <f t="shared" si="10"/>
        <v>0</v>
      </c>
      <c r="J19" s="34">
        <f t="shared" si="0"/>
        <v>1684703413.6561933</v>
      </c>
      <c r="K19" s="33">
        <f t="shared" si="11"/>
        <v>1788711332.6744499</v>
      </c>
      <c r="L19" s="5">
        <f t="shared" si="12"/>
        <v>4588.7706679644652</v>
      </c>
      <c r="M19" s="33">
        <f t="shared" si="28"/>
        <v>176905970.25281388</v>
      </c>
      <c r="N19" s="33">
        <f t="shared" si="13"/>
        <v>1965621891.6979318</v>
      </c>
      <c r="O19" s="33">
        <f t="shared" si="14"/>
        <v>1352515305395316.8</v>
      </c>
      <c r="P19" s="5">
        <f t="shared" si="29"/>
        <v>30258649.806645229</v>
      </c>
      <c r="Q19" s="5">
        <f t="shared" si="30"/>
        <v>1212720090.3495781</v>
      </c>
      <c r="R19" s="5">
        <f t="shared" si="15"/>
        <v>108085107.8396716</v>
      </c>
      <c r="S19" s="5">
        <f t="shared" si="16"/>
        <v>1351063847.9958949</v>
      </c>
      <c r="T19" s="40">
        <f t="shared" si="17"/>
        <v>505569795.53643066</v>
      </c>
      <c r="U19" s="35">
        <f t="shared" si="18"/>
        <v>758354693.30464602</v>
      </c>
      <c r="V19" s="5">
        <f t="shared" si="1"/>
        <v>183974936.45775479</v>
      </c>
      <c r="W19" s="5">
        <f>V19+W18</f>
        <v>2023724301.0353031</v>
      </c>
      <c r="X19" s="21">
        <f t="shared" si="2"/>
        <v>649415801.34233046</v>
      </c>
      <c r="Y19" s="3">
        <f>Y18*(1+4%)</f>
        <v>731793807.63148177</v>
      </c>
      <c r="Z19" s="5">
        <f t="shared" si="19"/>
        <v>1381209608.9738121</v>
      </c>
      <c r="AA19" s="5">
        <f t="shared" si="20"/>
        <v>179557249.16659558</v>
      </c>
      <c r="AB19" s="35">
        <f t="shared" si="21"/>
        <v>574379756.84689116</v>
      </c>
      <c r="AC19" s="5">
        <f t="shared" si="22"/>
        <v>201032914.8964119</v>
      </c>
      <c r="AD19" s="18">
        <f t="shared" si="23"/>
        <v>377764529.24163854</v>
      </c>
      <c r="AE19" s="5">
        <f t="shared" si="24"/>
        <v>1381209608.9738121</v>
      </c>
      <c r="AF19" s="5">
        <v>10</v>
      </c>
      <c r="AG19" s="36">
        <f t="shared" si="3"/>
        <v>142231.03440783179</v>
      </c>
      <c r="AH19" s="5">
        <f t="shared" si="32"/>
        <v>-72305193.276533335</v>
      </c>
      <c r="AI19" s="5">
        <f t="shared" si="4"/>
        <v>520035.25003460981</v>
      </c>
      <c r="AJ19" s="18">
        <f t="shared" si="5"/>
        <v>-3216655866.706068</v>
      </c>
      <c r="AK19" s="18">
        <f t="shared" si="25"/>
        <v>-804365.05794100231</v>
      </c>
      <c r="AL19" s="20">
        <f t="shared" si="26"/>
        <v>-0.80436505794100233</v>
      </c>
    </row>
    <row r="20" spans="1:38" ht="15" x14ac:dyDescent="0.25">
      <c r="A20" s="38">
        <v>11</v>
      </c>
      <c r="B20" s="16">
        <v>2035</v>
      </c>
      <c r="C20" s="17">
        <f t="shared" ref="C20:C33" si="35">C$9*(1+C$41)^A20</f>
        <v>708727.74181091611</v>
      </c>
      <c r="D20" s="37">
        <f t="shared" si="33"/>
        <v>1341743770.5789967</v>
      </c>
      <c r="E20" s="25">
        <f t="shared" si="7"/>
        <v>1638000</v>
      </c>
      <c r="F20" s="25">
        <f t="shared" si="27"/>
        <v>8902772.4809554368</v>
      </c>
      <c r="G20" s="27">
        <f t="shared" si="8"/>
        <v>1352284543.059952</v>
      </c>
      <c r="H20" s="29">
        <f t="shared" ref="H20:H33" si="36">H$9*(1+C$41)^A20</f>
        <v>107128156.58880429</v>
      </c>
      <c r="I20" s="5">
        <f t="shared" si="10"/>
        <v>0</v>
      </c>
      <c r="J20" s="34">
        <f t="shared" si="0"/>
        <v>1735244516.0658789</v>
      </c>
      <c r="K20" s="33">
        <f t="shared" si="11"/>
        <v>1842372672.6546831</v>
      </c>
      <c r="L20" s="5">
        <f t="shared" ref="L20:L33" si="37">((($E$36*C19/$B$36))*((1+4%)^(A20)))/C20</f>
        <v>4772.321494683044</v>
      </c>
      <c r="M20" s="33">
        <f t="shared" si="28"/>
        <v>182213153.89874285</v>
      </c>
      <c r="N20" s="33">
        <f t="shared" si="13"/>
        <v>2024590598.8749206</v>
      </c>
      <c r="O20" s="33">
        <f t="shared" si="14"/>
        <v>1434883523232232.8</v>
      </c>
      <c r="P20" s="5">
        <f t="shared" si="29"/>
        <v>31468995.798911039</v>
      </c>
      <c r="Q20" s="5">
        <f t="shared" si="30"/>
        <v>1261228893.9635613</v>
      </c>
      <c r="R20" s="5">
        <f t="shared" si="15"/>
        <v>112408512.15325847</v>
      </c>
      <c r="S20" s="5">
        <f t="shared" si="16"/>
        <v>1405106401.915731</v>
      </c>
      <c r="T20" s="40">
        <f t="shared" si="17"/>
        <v>540913817.22398078</v>
      </c>
      <c r="U20" s="35">
        <f t="shared" si="18"/>
        <v>811370725.83597124</v>
      </c>
      <c r="V20" s="5">
        <f t="shared" si="1"/>
        <v>183974936.45775479</v>
      </c>
      <c r="W20" s="5">
        <f t="shared" ref="W20:W33" si="38">V20+W19</f>
        <v>2207699237.4930577</v>
      </c>
      <c r="X20" s="39">
        <f t="shared" si="2"/>
        <v>465440864.88457584</v>
      </c>
      <c r="Y20" s="38">
        <f t="shared" ref="Y20:Y33" si="39">Y19*(1+4%)</f>
        <v>761065559.93674111</v>
      </c>
      <c r="Z20" s="5">
        <f t="shared" si="19"/>
        <v>1226506424.821317</v>
      </c>
      <c r="AA20" s="5">
        <f t="shared" si="20"/>
        <v>159445835.22677121</v>
      </c>
      <c r="AB20" s="35">
        <f t="shared" si="21"/>
        <v>627395789.37821651</v>
      </c>
      <c r="AC20" s="5">
        <f t="shared" si="22"/>
        <v>219588526.28237575</v>
      </c>
      <c r="AD20" s="18">
        <f t="shared" si="23"/>
        <v>432336364.32682425</v>
      </c>
      <c r="AE20" s="5">
        <f t="shared" si="24"/>
        <v>1226506424.821317</v>
      </c>
      <c r="AF20" s="5">
        <v>11</v>
      </c>
      <c r="AG20" s="36">
        <f t="shared" ref="AG20:AG33" si="40">AD20/((1+$AF$35)^AF20)</f>
        <v>73989.872177986574</v>
      </c>
      <c r="AH20" s="5">
        <f t="shared" si="32"/>
        <v>-72231203.404355347</v>
      </c>
      <c r="AI20" s="5">
        <f t="shared" ref="AI20:AI33" si="41">AE20/((1+$AF$35)^AF20)</f>
        <v>209903.8181516623</v>
      </c>
      <c r="AJ20" s="18">
        <f t="shared" ref="AJ20:AJ33" si="42">AH20+AI20-$AC$36</f>
        <v>-3216892008.2657728</v>
      </c>
      <c r="AK20" s="18">
        <f t="shared" si="25"/>
        <v>-804424.10809346661</v>
      </c>
      <c r="AL20" s="20">
        <f t="shared" si="26"/>
        <v>-0.80442410809346665</v>
      </c>
    </row>
    <row r="21" spans="1:38" ht="15" x14ac:dyDescent="0.25">
      <c r="A21" s="38">
        <v>12</v>
      </c>
      <c r="B21" s="16">
        <v>2036</v>
      </c>
      <c r="C21" s="17">
        <f t="shared" si="35"/>
        <v>729989.57406524348</v>
      </c>
      <c r="D21" s="37">
        <f t="shared" si="33"/>
        <v>1435665834.5195265</v>
      </c>
      <c r="E21" s="25">
        <f t="shared" si="7"/>
        <v>1638000</v>
      </c>
      <c r="F21" s="25">
        <f t="shared" si="27"/>
        <v>9525966.5546223186</v>
      </c>
      <c r="G21" s="27">
        <f t="shared" si="8"/>
        <v>1446829801.0741489</v>
      </c>
      <c r="H21" s="29">
        <f t="shared" si="36"/>
        <v>110342001.2864684</v>
      </c>
      <c r="I21" s="5">
        <f t="shared" si="10"/>
        <v>0</v>
      </c>
      <c r="J21" s="34">
        <f t="shared" si="0"/>
        <v>1787301851.5478551</v>
      </c>
      <c r="K21" s="33">
        <f t="shared" si="11"/>
        <v>1897643852.8343236</v>
      </c>
      <c r="L21" s="5">
        <f t="shared" si="37"/>
        <v>4963.2143544703677</v>
      </c>
      <c r="M21" s="33">
        <f t="shared" si="28"/>
        <v>187679553.23558354</v>
      </c>
      <c r="N21" s="33">
        <f t="shared" si="13"/>
        <v>2085328369.2842617</v>
      </c>
      <c r="O21" s="33">
        <f t="shared" si="14"/>
        <v>1522267968079987</v>
      </c>
      <c r="P21" s="5">
        <f t="shared" si="29"/>
        <v>32727755.630867481</v>
      </c>
      <c r="Q21" s="5">
        <f t="shared" si="30"/>
        <v>1311678049.7221038</v>
      </c>
      <c r="R21" s="5">
        <f t="shared" si="15"/>
        <v>116904852.63938881</v>
      </c>
      <c r="S21" s="5">
        <f t="shared" si="16"/>
        <v>1461310657.9923601</v>
      </c>
      <c r="T21" s="40">
        <f t="shared" si="17"/>
        <v>578731920.42965961</v>
      </c>
      <c r="U21" s="35">
        <f t="shared" si="18"/>
        <v>868097880.64448929</v>
      </c>
      <c r="V21" s="5">
        <f t="shared" si="1"/>
        <v>183974936.45775479</v>
      </c>
      <c r="W21" s="5">
        <f t="shared" si="38"/>
        <v>2391674173.9508123</v>
      </c>
      <c r="X21" s="39">
        <f t="shared" si="2"/>
        <v>281465928.42682123</v>
      </c>
      <c r="Y21" s="38">
        <f t="shared" si="39"/>
        <v>791508182.33421075</v>
      </c>
      <c r="Z21" s="5">
        <f t="shared" si="19"/>
        <v>1072974110.761032</v>
      </c>
      <c r="AA21" s="5">
        <f t="shared" si="20"/>
        <v>139486634.39893416</v>
      </c>
      <c r="AB21" s="35">
        <f t="shared" si="21"/>
        <v>684122944.18673444</v>
      </c>
      <c r="AC21" s="5">
        <f t="shared" si="22"/>
        <v>239443030.46535704</v>
      </c>
      <c r="AD21" s="18">
        <f t="shared" si="23"/>
        <v>489168215.7801981</v>
      </c>
      <c r="AE21" s="5">
        <f t="shared" si="24"/>
        <v>1072974110.761032</v>
      </c>
      <c r="AF21" s="5">
        <v>12</v>
      </c>
      <c r="AG21" s="36">
        <f t="shared" si="40"/>
        <v>38052.751121084148</v>
      </c>
      <c r="AH21" s="5">
        <f t="shared" si="32"/>
        <v>-72193150.653234258</v>
      </c>
      <c r="AI21" s="5">
        <f t="shared" si="41"/>
        <v>83467.436106892157</v>
      </c>
      <c r="AJ21" s="18">
        <f t="shared" si="42"/>
        <v>-3216980391.8966966</v>
      </c>
      <c r="AK21" s="18">
        <f t="shared" si="25"/>
        <v>-804446.20952655573</v>
      </c>
      <c r="AL21" s="20">
        <f t="shared" si="26"/>
        <v>-0.80444620952655577</v>
      </c>
    </row>
    <row r="22" spans="1:38" ht="15" customHeight="1" x14ac:dyDescent="0.25">
      <c r="A22" s="38">
        <v>13</v>
      </c>
      <c r="B22" s="16">
        <v>2037</v>
      </c>
      <c r="C22" s="17">
        <f t="shared" si="35"/>
        <v>751889.26128720073</v>
      </c>
      <c r="D22" s="37">
        <f t="shared" si="33"/>
        <v>1536162442.9358935</v>
      </c>
      <c r="E22" s="25">
        <f t="shared" si="7"/>
        <v>1638000</v>
      </c>
      <c r="F22" s="25">
        <f t="shared" si="27"/>
        <v>10192784.213445881</v>
      </c>
      <c r="G22" s="27">
        <f t="shared" si="8"/>
        <v>1547993227.1493394</v>
      </c>
      <c r="H22" s="29">
        <f t="shared" si="36"/>
        <v>113652261.32506244</v>
      </c>
      <c r="I22" s="5">
        <f t="shared" si="10"/>
        <v>0</v>
      </c>
      <c r="J22" s="34">
        <f t="shared" si="0"/>
        <v>1840920907.094291</v>
      </c>
      <c r="K22" s="33">
        <f t="shared" si="11"/>
        <v>1954573168.4193535</v>
      </c>
      <c r="L22" s="5">
        <f t="shared" si="37"/>
        <v>5161.7429286491824</v>
      </c>
      <c r="M22" s="33">
        <f t="shared" si="28"/>
        <v>193309944.74132463</v>
      </c>
      <c r="N22" s="33">
        <f t="shared" si="13"/>
        <v>2147888274.9036069</v>
      </c>
      <c r="O22" s="33">
        <f t="shared" si="14"/>
        <v>1614974128344713</v>
      </c>
      <c r="P22" s="5">
        <f t="shared" si="29"/>
        <v>34036865.856102183</v>
      </c>
      <c r="Q22" s="5">
        <f t="shared" si="30"/>
        <v>1364145171.710988</v>
      </c>
      <c r="R22" s="5">
        <f t="shared" si="15"/>
        <v>121581046.74496438</v>
      </c>
      <c r="S22" s="5">
        <f t="shared" si="16"/>
        <v>1519763084.3120546</v>
      </c>
      <c r="T22" s="40">
        <f t="shared" si="17"/>
        <v>619197290.85973585</v>
      </c>
      <c r="U22" s="35">
        <f t="shared" si="18"/>
        <v>928795936.28960359</v>
      </c>
      <c r="V22" s="5">
        <f t="shared" si="1"/>
        <v>183974936.45775479</v>
      </c>
      <c r="W22" s="5">
        <f t="shared" si="38"/>
        <v>2575649110.408567</v>
      </c>
      <c r="X22" s="39">
        <f t="shared" si="2"/>
        <v>97490991.96906662</v>
      </c>
      <c r="Y22" s="38">
        <f t="shared" si="39"/>
        <v>823168509.62757921</v>
      </c>
      <c r="Z22" s="5">
        <f t="shared" si="19"/>
        <v>920659501.59664583</v>
      </c>
      <c r="AA22" s="5">
        <f t="shared" si="20"/>
        <v>119685735.20756397</v>
      </c>
      <c r="AB22" s="35">
        <f t="shared" si="21"/>
        <v>744820999.83184886</v>
      </c>
      <c r="AC22" s="5">
        <f t="shared" si="22"/>
        <v>260687349.94114709</v>
      </c>
      <c r="AD22" s="18">
        <f t="shared" si="23"/>
        <v>548422851.14089251</v>
      </c>
      <c r="AE22" s="5">
        <f t="shared" si="24"/>
        <v>920659501.59664583</v>
      </c>
      <c r="AF22" s="5">
        <v>13</v>
      </c>
      <c r="AG22" s="36">
        <f t="shared" si="40"/>
        <v>19391.914673968808</v>
      </c>
      <c r="AH22" s="5">
        <f t="shared" si="32"/>
        <v>-72173758.738560289</v>
      </c>
      <c r="AI22" s="5">
        <f t="shared" si="41"/>
        <v>32553.987241049868</v>
      </c>
      <c r="AJ22" s="18">
        <f t="shared" si="42"/>
        <v>-3217011913.4308887</v>
      </c>
      <c r="AK22" s="18">
        <f t="shared" si="25"/>
        <v>-804454.09188069229</v>
      </c>
      <c r="AL22" s="20">
        <f t="shared" si="26"/>
        <v>-0.80445409188069228</v>
      </c>
    </row>
    <row r="23" spans="1:38" ht="13.8" customHeight="1" x14ac:dyDescent="0.25">
      <c r="A23" s="38">
        <v>14</v>
      </c>
      <c r="B23" s="16">
        <v>2038</v>
      </c>
      <c r="C23" s="17">
        <f t="shared" si="35"/>
        <v>774445.9391258168</v>
      </c>
      <c r="D23" s="37">
        <f t="shared" si="33"/>
        <v>1643693813.9414063</v>
      </c>
      <c r="E23" s="25">
        <f t="shared" si="7"/>
        <v>1638000</v>
      </c>
      <c r="F23" s="25">
        <f t="shared" si="27"/>
        <v>10906279.108387094</v>
      </c>
      <c r="G23" s="27">
        <f t="shared" si="8"/>
        <v>1656238093.0497932</v>
      </c>
      <c r="H23" s="29">
        <f t="shared" si="36"/>
        <v>117061829.16481434</v>
      </c>
      <c r="I23" s="5">
        <f t="shared" si="10"/>
        <v>0</v>
      </c>
      <c r="J23" s="34">
        <f t="shared" si="0"/>
        <v>1896148534.3071198</v>
      </c>
      <c r="K23" s="33">
        <f t="shared" si="11"/>
        <v>2013210363.4719341</v>
      </c>
      <c r="L23" s="5">
        <f t="shared" si="37"/>
        <v>5368.212645795149</v>
      </c>
      <c r="M23" s="33">
        <f t="shared" si="28"/>
        <v>199109248.1885848</v>
      </c>
      <c r="N23" s="33">
        <f t="shared" si="13"/>
        <v>2212324979.8731647</v>
      </c>
      <c r="O23" s="33">
        <f t="shared" si="14"/>
        <v>1713326096689376.8</v>
      </c>
      <c r="P23" s="5">
        <f t="shared" si="29"/>
        <v>35398340.490346275</v>
      </c>
      <c r="Q23" s="5">
        <f t="shared" si="30"/>
        <v>1418710978.5794277</v>
      </c>
      <c r="R23" s="5">
        <f t="shared" si="15"/>
        <v>126444288.61476295</v>
      </c>
      <c r="S23" s="5">
        <f t="shared" si="16"/>
        <v>1580553607.6845369</v>
      </c>
      <c r="T23" s="40">
        <f t="shared" si="17"/>
        <v>662495237.2199173</v>
      </c>
      <c r="U23" s="35">
        <f t="shared" si="18"/>
        <v>993742855.82987595</v>
      </c>
      <c r="V23" s="5">
        <f t="shared" si="1"/>
        <v>183974936.45775479</v>
      </c>
      <c r="W23" s="5">
        <f t="shared" si="38"/>
        <v>2759624046.8663216</v>
      </c>
      <c r="X23" s="39">
        <f t="shared" si="2"/>
        <v>-86483944.488687992</v>
      </c>
      <c r="Y23" s="38">
        <f t="shared" si="39"/>
        <v>856095250.01268244</v>
      </c>
      <c r="Z23" s="5">
        <f t="shared" si="19"/>
        <v>769611305.52399445</v>
      </c>
      <c r="AA23" s="5">
        <f t="shared" si="20"/>
        <v>100049469.71811928</v>
      </c>
      <c r="AB23" s="35">
        <f t="shared" si="21"/>
        <v>809767919.3721211</v>
      </c>
      <c r="AC23" s="5">
        <f t="shared" si="22"/>
        <v>283418771.78024238</v>
      </c>
      <c r="AD23" s="18">
        <f t="shared" si="23"/>
        <v>610274614.33151436</v>
      </c>
      <c r="AE23" s="5">
        <f t="shared" si="24"/>
        <v>769611305.52399445</v>
      </c>
      <c r="AF23" s="5">
        <v>14</v>
      </c>
      <c r="AG23" s="36">
        <f t="shared" si="40"/>
        <v>9808.6169227952123</v>
      </c>
      <c r="AH23" s="5">
        <f t="shared" si="32"/>
        <v>-72163950.121637493</v>
      </c>
      <c r="AI23" s="5">
        <f t="shared" si="41"/>
        <v>12369.550196031068</v>
      </c>
      <c r="AJ23" s="18">
        <f t="shared" si="42"/>
        <v>-3217022289.2510109</v>
      </c>
      <c r="AK23" s="18">
        <f t="shared" si="25"/>
        <v>-804456.68648437387</v>
      </c>
      <c r="AL23" s="20">
        <f t="shared" si="26"/>
        <v>-0.80445668648437385</v>
      </c>
    </row>
    <row r="24" spans="1:38" ht="13.8" customHeight="1" x14ac:dyDescent="0.25">
      <c r="A24" s="38">
        <v>15</v>
      </c>
      <c r="B24" s="16">
        <v>2039</v>
      </c>
      <c r="C24" s="17">
        <f t="shared" si="35"/>
        <v>797679.31729959138</v>
      </c>
      <c r="D24" s="37">
        <f t="shared" si="33"/>
        <v>1758752380.9173048</v>
      </c>
      <c r="E24" s="25">
        <f t="shared" si="7"/>
        <v>1638000</v>
      </c>
      <c r="F24" s="25">
        <f t="shared" si="27"/>
        <v>11669718.645974191</v>
      </c>
      <c r="G24" s="27">
        <f t="shared" si="8"/>
        <v>1772060099.5632789</v>
      </c>
      <c r="H24" s="29">
        <f t="shared" si="36"/>
        <v>120573684.03975877</v>
      </c>
      <c r="I24" s="5">
        <f t="shared" si="10"/>
        <v>0</v>
      </c>
      <c r="J24" s="34">
        <f t="shared" si="0"/>
        <v>1953032990.336333</v>
      </c>
      <c r="K24" s="33">
        <f t="shared" si="11"/>
        <v>2073606674.3760917</v>
      </c>
      <c r="L24" s="5">
        <f t="shared" si="37"/>
        <v>5582.9411516269538</v>
      </c>
      <c r="M24" s="33">
        <f t="shared" si="28"/>
        <v>205082530.94346362</v>
      </c>
      <c r="N24" s="33">
        <f t="shared" si="13"/>
        <v>2278694788.2607069</v>
      </c>
      <c r="O24" s="33">
        <f t="shared" si="14"/>
        <v>1817667703033937.5</v>
      </c>
      <c r="P24" s="5">
        <f t="shared" si="29"/>
        <v>36814274.109960124</v>
      </c>
      <c r="Q24" s="5">
        <f t="shared" si="30"/>
        <v>1475459417.722605</v>
      </c>
      <c r="R24" s="5">
        <f t="shared" si="15"/>
        <v>131502060.15935348</v>
      </c>
      <c r="S24" s="5">
        <f t="shared" si="16"/>
        <v>1643775751.9919186</v>
      </c>
      <c r="T24" s="40">
        <f t="shared" si="17"/>
        <v>708824039.82531166</v>
      </c>
      <c r="U24" s="35">
        <f t="shared" si="18"/>
        <v>1063236059.7379673</v>
      </c>
      <c r="V24" s="5">
        <f t="shared" si="1"/>
        <v>183974936.45775479</v>
      </c>
      <c r="W24" s="5">
        <f t="shared" si="38"/>
        <v>2943598983.3240762</v>
      </c>
      <c r="X24" s="39">
        <f t="shared" si="2"/>
        <v>-270458880.9464426</v>
      </c>
      <c r="Y24" s="38">
        <f t="shared" si="39"/>
        <v>890339060.01318979</v>
      </c>
      <c r="Z24" s="5">
        <f t="shared" si="19"/>
        <v>619880179.06674719</v>
      </c>
      <c r="AA24" s="5">
        <f t="shared" si="20"/>
        <v>80584423.278677136</v>
      </c>
      <c r="AB24" s="35">
        <f t="shared" si="21"/>
        <v>879261123.2802124</v>
      </c>
      <c r="AC24" s="5">
        <f t="shared" si="22"/>
        <v>307741393.14807433</v>
      </c>
      <c r="AD24" s="18">
        <f t="shared" si="23"/>
        <v>674910243.31121588</v>
      </c>
      <c r="AE24" s="5">
        <f t="shared" si="24"/>
        <v>619880179.06674719</v>
      </c>
      <c r="AF24" s="5">
        <v>15</v>
      </c>
      <c r="AG24" s="36">
        <f t="shared" si="40"/>
        <v>4930.6685268100791</v>
      </c>
      <c r="AH24" s="5">
        <f t="shared" si="32"/>
        <v>-72159019.45311068</v>
      </c>
      <c r="AI24" s="5">
        <f t="shared" si="41"/>
        <v>4528.6372811924011</v>
      </c>
      <c r="AJ24" s="18">
        <f t="shared" si="42"/>
        <v>-3217025199.4953985</v>
      </c>
      <c r="AK24" s="18">
        <f t="shared" si="25"/>
        <v>-804457.41422740649</v>
      </c>
      <c r="AL24" s="20">
        <f t="shared" si="26"/>
        <v>-0.80445741422740646</v>
      </c>
    </row>
    <row r="25" spans="1:38" ht="12.6" customHeight="1" x14ac:dyDescent="0.25">
      <c r="A25" s="38">
        <v>16</v>
      </c>
      <c r="B25" s="16">
        <v>2040</v>
      </c>
      <c r="C25" s="17">
        <f t="shared" si="35"/>
        <v>821609.69681857899</v>
      </c>
      <c r="D25" s="37">
        <f t="shared" si="33"/>
        <v>1881865047.5815163</v>
      </c>
      <c r="E25" s="25">
        <f t="shared" si="7"/>
        <v>1638000</v>
      </c>
      <c r="F25" s="25">
        <f t="shared" si="27"/>
        <v>12486598.951192385</v>
      </c>
      <c r="G25" s="27">
        <f t="shared" si="8"/>
        <v>1895989646.5327086</v>
      </c>
      <c r="H25" s="29">
        <f t="shared" si="36"/>
        <v>124190894.56095152</v>
      </c>
      <c r="I25" s="5">
        <f t="shared" si="10"/>
        <v>0</v>
      </c>
      <c r="J25" s="34">
        <f t="shared" si="0"/>
        <v>2011623980.0464232</v>
      </c>
      <c r="K25" s="33">
        <f t="shared" si="11"/>
        <v>2135814874.6073747</v>
      </c>
      <c r="L25" s="5">
        <f t="shared" si="37"/>
        <v>5806.2587976920349</v>
      </c>
      <c r="M25" s="33">
        <f t="shared" si="28"/>
        <v>211235012.39335769</v>
      </c>
      <c r="N25" s="33">
        <f t="shared" si="13"/>
        <v>2347055693.2595301</v>
      </c>
      <c r="O25" s="33">
        <f t="shared" si="14"/>
        <v>1928363716555282.3</v>
      </c>
      <c r="P25" s="5">
        <f t="shared" si="29"/>
        <v>38286845.07435853</v>
      </c>
      <c r="Q25" s="5">
        <f t="shared" si="30"/>
        <v>1534477794.4315093</v>
      </c>
      <c r="R25" s="5">
        <f t="shared" si="15"/>
        <v>136762142.56572762</v>
      </c>
      <c r="S25" s="5">
        <f t="shared" si="16"/>
        <v>1709526782.0715954</v>
      </c>
      <c r="T25" s="40">
        <f t="shared" si="17"/>
        <v>758395858.61308348</v>
      </c>
      <c r="U25" s="35">
        <f t="shared" si="18"/>
        <v>1137593787.9196253</v>
      </c>
      <c r="V25" s="5">
        <f t="shared" si="1"/>
        <v>183974936.45775479</v>
      </c>
      <c r="W25" s="5">
        <f t="shared" si="38"/>
        <v>3127573919.7818308</v>
      </c>
      <c r="X25" s="39">
        <f t="shared" si="2"/>
        <v>-454433817.40419722</v>
      </c>
      <c r="Y25" s="38">
        <f t="shared" si="39"/>
        <v>925952622.41371739</v>
      </c>
      <c r="Z25" s="5">
        <f t="shared" si="19"/>
        <v>471518805.00952017</v>
      </c>
      <c r="AA25" s="5">
        <f t="shared" si="20"/>
        <v>61297444.651237622</v>
      </c>
      <c r="AB25" s="35">
        <f t="shared" si="21"/>
        <v>953618851.46187043</v>
      </c>
      <c r="AC25" s="5">
        <f t="shared" si="22"/>
        <v>333766598.01165462</v>
      </c>
      <c r="AD25" s="18">
        <f t="shared" si="23"/>
        <v>742529745.25673294</v>
      </c>
      <c r="AE25" s="5">
        <f t="shared" si="24"/>
        <v>471518805.00952017</v>
      </c>
      <c r="AF25" s="5">
        <v>16</v>
      </c>
      <c r="AG25" s="36">
        <f t="shared" si="40"/>
        <v>2465.7609063522632</v>
      </c>
      <c r="AH25" s="5">
        <f t="shared" si="32"/>
        <v>-72156553.692204326</v>
      </c>
      <c r="AI25" s="5">
        <f t="shared" si="41"/>
        <v>1565.7994086155004</v>
      </c>
      <c r="AJ25" s="18">
        <f t="shared" si="42"/>
        <v>-3217025696.5723648</v>
      </c>
      <c r="AK25" s="18">
        <f t="shared" si="25"/>
        <v>-804457.53852772317</v>
      </c>
      <c r="AL25" s="20">
        <f t="shared" si="26"/>
        <v>-0.80445753852772317</v>
      </c>
    </row>
    <row r="26" spans="1:38" ht="15" x14ac:dyDescent="0.25">
      <c r="A26" s="38">
        <v>17</v>
      </c>
      <c r="B26" s="16">
        <v>2041</v>
      </c>
      <c r="C26" s="17">
        <f t="shared" si="35"/>
        <v>846257.98772313632</v>
      </c>
      <c r="D26" s="37">
        <f t="shared" si="33"/>
        <v>2013595600.9122226</v>
      </c>
      <c r="E26" s="25">
        <f t="shared" si="7"/>
        <v>1638000</v>
      </c>
      <c r="F26" s="25">
        <f t="shared" si="27"/>
        <v>13360660.877775852</v>
      </c>
      <c r="G26" s="27">
        <f t="shared" si="8"/>
        <v>2028594261.7899985</v>
      </c>
      <c r="H26" s="29">
        <f t="shared" si="36"/>
        <v>127916621.39778006</v>
      </c>
      <c r="I26" s="5">
        <f t="shared" si="10"/>
        <v>0</v>
      </c>
      <c r="J26" s="34">
        <f t="shared" si="0"/>
        <v>2071972699.4478159</v>
      </c>
      <c r="K26" s="33">
        <f t="shared" si="11"/>
        <v>2199889320.8455958</v>
      </c>
      <c r="L26" s="5">
        <f t="shared" si="37"/>
        <v>6038.5091495997158</v>
      </c>
      <c r="M26" s="33">
        <f t="shared" si="28"/>
        <v>217572068.50761217</v>
      </c>
      <c r="N26" s="33">
        <f t="shared" si="13"/>
        <v>2417467427.8623576</v>
      </c>
      <c r="O26" s="33">
        <f t="shared" si="14"/>
        <v>2045801120889025</v>
      </c>
      <c r="P26" s="5">
        <f t="shared" si="29"/>
        <v>39818318.877332874</v>
      </c>
      <c r="Q26" s="5">
        <f t="shared" si="30"/>
        <v>1595856906.2087698</v>
      </c>
      <c r="R26" s="5">
        <f t="shared" si="15"/>
        <v>142232628.26835677</v>
      </c>
      <c r="S26" s="5">
        <f t="shared" si="16"/>
        <v>1777907853.3544595</v>
      </c>
      <c r="T26" s="40">
        <f t="shared" si="17"/>
        <v>811437704.71599948</v>
      </c>
      <c r="U26" s="35">
        <f t="shared" si="18"/>
        <v>1217156557.0739989</v>
      </c>
      <c r="V26" s="5">
        <f t="shared" si="1"/>
        <v>183974936.45775479</v>
      </c>
      <c r="W26" s="5">
        <f t="shared" si="38"/>
        <v>3311548856.2395854</v>
      </c>
      <c r="X26" s="39">
        <f t="shared" si="2"/>
        <v>-638408753.86195183</v>
      </c>
      <c r="Y26" s="38">
        <f t="shared" si="39"/>
        <v>962990727.31026614</v>
      </c>
      <c r="Z26" s="5">
        <f t="shared" si="19"/>
        <v>324581973.44831431</v>
      </c>
      <c r="AA26" s="5">
        <f t="shared" si="20"/>
        <v>42195656.548280865</v>
      </c>
      <c r="AB26" s="35">
        <f t="shared" si="21"/>
        <v>1033181620.6162441</v>
      </c>
      <c r="AC26" s="5">
        <f t="shared" si="22"/>
        <v>361613567.21568543</v>
      </c>
      <c r="AD26" s="18">
        <f t="shared" si="23"/>
        <v>813347333.31003261</v>
      </c>
      <c r="AE26" s="5">
        <f t="shared" si="24"/>
        <v>324581973.44831431</v>
      </c>
      <c r="AF26" s="5">
        <v>17</v>
      </c>
      <c r="AG26" s="36">
        <f t="shared" si="40"/>
        <v>1227.6949604761594</v>
      </c>
      <c r="AH26" s="5">
        <f t="shared" si="32"/>
        <v>-72155325.997243851</v>
      </c>
      <c r="AI26" s="5">
        <f t="shared" si="41"/>
        <v>489.93540243403748</v>
      </c>
      <c r="AJ26" s="18">
        <f t="shared" si="42"/>
        <v>-3217025544.7414107</v>
      </c>
      <c r="AK26" s="18">
        <f t="shared" si="25"/>
        <v>-804457.50056049286</v>
      </c>
      <c r="AL26" s="20">
        <f t="shared" si="26"/>
        <v>-0.80445750056049281</v>
      </c>
    </row>
    <row r="27" spans="1:38" ht="15" x14ac:dyDescent="0.25">
      <c r="A27" s="38">
        <v>18</v>
      </c>
      <c r="B27" s="16">
        <v>2042</v>
      </c>
      <c r="C27" s="17">
        <f t="shared" si="35"/>
        <v>871645.72735483048</v>
      </c>
      <c r="D27" s="37">
        <f t="shared" si="33"/>
        <v>2154547292.9760785</v>
      </c>
      <c r="E27" s="25">
        <f t="shared" si="7"/>
        <v>1638000</v>
      </c>
      <c r="F27" s="25">
        <f t="shared" si="27"/>
        <v>14295907.139220161</v>
      </c>
      <c r="G27" s="27">
        <f t="shared" si="8"/>
        <v>2170481200.1152987</v>
      </c>
      <c r="H27" s="29">
        <f t="shared" si="36"/>
        <v>131754120.03971346</v>
      </c>
      <c r="I27" s="5">
        <f t="shared" si="10"/>
        <v>0</v>
      </c>
      <c r="J27" s="34">
        <f t="shared" si="0"/>
        <v>2134131880.4312501</v>
      </c>
      <c r="K27" s="33">
        <f t="shared" si="11"/>
        <v>2265886000.4709635</v>
      </c>
      <c r="L27" s="5">
        <f t="shared" si="37"/>
        <v>6280.0495155837043</v>
      </c>
      <c r="M27" s="33">
        <f t="shared" si="28"/>
        <v>224099236.53499243</v>
      </c>
      <c r="N27" s="33">
        <f t="shared" si="13"/>
        <v>2489991517.0554714</v>
      </c>
      <c r="O27" s="33">
        <f t="shared" si="14"/>
        <v>2170390466991174.3</v>
      </c>
      <c r="P27" s="5">
        <f t="shared" si="29"/>
        <v>41411051.632426187</v>
      </c>
      <c r="Q27" s="5">
        <f t="shared" si="30"/>
        <v>1659691182.4571207</v>
      </c>
      <c r="R27" s="5">
        <f t="shared" si="15"/>
        <v>147921933.39909104</v>
      </c>
      <c r="S27" s="5">
        <f t="shared" si="16"/>
        <v>1849024167.4886379</v>
      </c>
      <c r="T27" s="40">
        <f t="shared" si="17"/>
        <v>868192480.04611957</v>
      </c>
      <c r="U27" s="35">
        <f t="shared" si="18"/>
        <v>1302288720.0691791</v>
      </c>
      <c r="V27" s="5">
        <f t="shared" si="1"/>
        <v>183974936.45775479</v>
      </c>
      <c r="W27" s="5">
        <f t="shared" si="38"/>
        <v>3495523792.69734</v>
      </c>
      <c r="X27" s="39">
        <f t="shared" si="2"/>
        <v>-822383690.31970644</v>
      </c>
      <c r="Y27" s="38">
        <f t="shared" si="39"/>
        <v>1001510356.4026768</v>
      </c>
      <c r="Z27" s="5">
        <f t="shared" si="19"/>
        <v>179126666.08297038</v>
      </c>
      <c r="AA27" s="5">
        <f t="shared" si="20"/>
        <v>23286466.590786152</v>
      </c>
      <c r="AB27" s="35">
        <f t="shared" si="21"/>
        <v>1118313783.6114242</v>
      </c>
      <c r="AC27" s="5">
        <f t="shared" si="22"/>
        <v>391409824.26399845</v>
      </c>
      <c r="AD27" s="18">
        <f t="shared" si="23"/>
        <v>887592429.21439433</v>
      </c>
      <c r="AE27" s="5">
        <f t="shared" si="24"/>
        <v>179126666.08297038</v>
      </c>
      <c r="AF27" s="5">
        <v>18</v>
      </c>
      <c r="AG27" s="36">
        <f t="shared" si="40"/>
        <v>608.98323154861578</v>
      </c>
      <c r="AH27" s="5">
        <f t="shared" si="32"/>
        <v>-72154717.014012307</v>
      </c>
      <c r="AI27" s="5">
        <f t="shared" si="41"/>
        <v>122.90002976285872</v>
      </c>
      <c r="AJ27" s="18">
        <f t="shared" si="42"/>
        <v>-3217025302.7935519</v>
      </c>
      <c r="AK27" s="18">
        <f t="shared" si="25"/>
        <v>-804457.4400584026</v>
      </c>
      <c r="AL27" s="20">
        <f t="shared" si="26"/>
        <v>-0.80445744005840258</v>
      </c>
    </row>
    <row r="28" spans="1:38" ht="15" x14ac:dyDescent="0.25">
      <c r="A28" s="38">
        <v>19</v>
      </c>
      <c r="B28" s="16">
        <v>2043</v>
      </c>
      <c r="C28" s="17">
        <f t="shared" si="35"/>
        <v>897795.0991754753</v>
      </c>
      <c r="D28" s="37">
        <f t="shared" si="33"/>
        <v>2305365603.4844041</v>
      </c>
      <c r="E28" s="25">
        <f t="shared" si="7"/>
        <v>1638000</v>
      </c>
      <c r="F28" s="25">
        <f t="shared" si="27"/>
        <v>15296620.638965573</v>
      </c>
      <c r="G28" s="27">
        <f t="shared" si="8"/>
        <v>2322300224.1233697</v>
      </c>
      <c r="H28" s="29">
        <f t="shared" si="36"/>
        <v>135706743.64090484</v>
      </c>
      <c r="I28" s="5">
        <f t="shared" si="10"/>
        <v>0</v>
      </c>
      <c r="J28" s="34">
        <f t="shared" si="0"/>
        <v>2198155836.8441877</v>
      </c>
      <c r="K28" s="33">
        <f t="shared" si="11"/>
        <v>2333862580.4850926</v>
      </c>
      <c r="L28" s="5">
        <f t="shared" si="37"/>
        <v>6531.2514962070536</v>
      </c>
      <c r="M28" s="33">
        <f t="shared" si="28"/>
        <v>230822219.84208021</v>
      </c>
      <c r="N28" s="33">
        <f t="shared" si="13"/>
        <v>2564691331.5786691</v>
      </c>
      <c r="O28" s="33">
        <f t="shared" si="14"/>
        <v>2302567308389153</v>
      </c>
      <c r="P28" s="5">
        <f t="shared" si="29"/>
        <v>43067493.69772324</v>
      </c>
      <c r="Q28" s="5">
        <f t="shared" si="30"/>
        <v>1726078829.7554054</v>
      </c>
      <c r="R28" s="5">
        <f t="shared" si="15"/>
        <v>153838810.73505467</v>
      </c>
      <c r="S28" s="5">
        <f t="shared" si="16"/>
        <v>1922985134.1881833</v>
      </c>
      <c r="T28" s="40">
        <f t="shared" si="17"/>
        <v>928920089.6493479</v>
      </c>
      <c r="U28" s="35">
        <f t="shared" si="18"/>
        <v>1393380134.4740219</v>
      </c>
      <c r="V28" s="5">
        <f t="shared" si="1"/>
        <v>183974936.45775479</v>
      </c>
      <c r="W28" s="5">
        <f t="shared" si="38"/>
        <v>3679498729.1550946</v>
      </c>
      <c r="X28" s="39">
        <f t="shared" si="2"/>
        <v>-1006358626.7774611</v>
      </c>
      <c r="Y28" s="38">
        <f t="shared" si="39"/>
        <v>1041570770.6587839</v>
      </c>
      <c r="Z28" s="5">
        <f t="shared" si="19"/>
        <v>35212143.881322861</v>
      </c>
      <c r="AA28" s="5">
        <f t="shared" si="20"/>
        <v>4577578.7045719717</v>
      </c>
      <c r="AB28" s="35">
        <f t="shared" si="21"/>
        <v>1209405198.0162671</v>
      </c>
      <c r="AC28" s="5">
        <f t="shared" si="22"/>
        <v>423291819.30569345</v>
      </c>
      <c r="AD28" s="18">
        <f t="shared" si="23"/>
        <v>965510736.46375656</v>
      </c>
      <c r="AE28" s="5">
        <f t="shared" si="24"/>
        <v>35212143.881322861</v>
      </c>
      <c r="AF28" s="5">
        <v>19</v>
      </c>
      <c r="AG28" s="36">
        <f t="shared" si="40"/>
        <v>301.11068847781945</v>
      </c>
      <c r="AH28" s="5">
        <f t="shared" si="32"/>
        <v>-72154415.903323829</v>
      </c>
      <c r="AI28" s="5">
        <f t="shared" si="41"/>
        <v>10.981496617757363</v>
      </c>
      <c r="AJ28" s="18">
        <f t="shared" si="42"/>
        <v>-3217025113.6013966</v>
      </c>
      <c r="AK28" s="18">
        <f t="shared" si="25"/>
        <v>-804457.39274853631</v>
      </c>
      <c r="AL28" s="20">
        <f t="shared" si="26"/>
        <v>-0.80445739274853634</v>
      </c>
    </row>
    <row r="29" spans="1:38" ht="15" x14ac:dyDescent="0.25">
      <c r="A29" s="38">
        <v>20</v>
      </c>
      <c r="B29" s="16">
        <v>2044</v>
      </c>
      <c r="C29" s="17">
        <f t="shared" si="35"/>
        <v>924728.95215073961</v>
      </c>
      <c r="D29" s="37">
        <f t="shared" si="33"/>
        <v>2466741195.7283125</v>
      </c>
      <c r="E29" s="25">
        <f t="shared" si="7"/>
        <v>1638000</v>
      </c>
      <c r="F29" s="25">
        <f t="shared" si="27"/>
        <v>16367384.083693163</v>
      </c>
      <c r="G29" s="27">
        <f t="shared" si="8"/>
        <v>2484746579.8120055</v>
      </c>
      <c r="H29" s="29">
        <f t="shared" si="36"/>
        <v>139777945.95013201</v>
      </c>
      <c r="I29" s="5">
        <f t="shared" si="10"/>
        <v>0</v>
      </c>
      <c r="J29" s="34">
        <f t="shared" si="0"/>
        <v>2264100511.949513</v>
      </c>
      <c r="K29" s="33">
        <f t="shared" si="11"/>
        <v>2403878457.8996449</v>
      </c>
      <c r="L29" s="5">
        <f t="shared" si="37"/>
        <v>6792.5015560553356</v>
      </c>
      <c r="M29" s="33">
        <f t="shared" si="28"/>
        <v>237746892.89682204</v>
      </c>
      <c r="N29" s="33">
        <f t="shared" si="13"/>
        <v>2641632143.2980227</v>
      </c>
      <c r="O29" s="33">
        <f t="shared" si="14"/>
        <v>2442793723839693</v>
      </c>
      <c r="P29" s="5">
        <f t="shared" si="29"/>
        <v>44790193.445632167</v>
      </c>
      <c r="Q29" s="5">
        <f t="shared" si="30"/>
        <v>1795121982.9456217</v>
      </c>
      <c r="R29" s="5">
        <f t="shared" si="15"/>
        <v>159992363.16445687</v>
      </c>
      <c r="S29" s="5">
        <f t="shared" si="16"/>
        <v>1999904539.5557108</v>
      </c>
      <c r="T29" s="40">
        <f t="shared" si="17"/>
        <v>993898631.9248023</v>
      </c>
      <c r="U29" s="35">
        <f t="shared" si="18"/>
        <v>1490847947.8872032</v>
      </c>
      <c r="V29" s="5">
        <f t="shared" si="1"/>
        <v>183974936.45775479</v>
      </c>
      <c r="W29" s="5">
        <f t="shared" si="38"/>
        <v>3863473665.6128492</v>
      </c>
      <c r="X29" s="39">
        <f t="shared" si="2"/>
        <v>-1190333563.2352157</v>
      </c>
      <c r="Y29" s="38">
        <f t="shared" si="39"/>
        <v>1083233601.4851353</v>
      </c>
      <c r="Z29" s="5">
        <f t="shared" si="19"/>
        <v>-107099961.75008035</v>
      </c>
      <c r="AA29" s="5">
        <f t="shared" si="20"/>
        <v>-13922995.027510446</v>
      </c>
      <c r="AB29" s="35">
        <f t="shared" si="21"/>
        <v>1306873011.4294484</v>
      </c>
      <c r="AC29" s="5">
        <f t="shared" si="22"/>
        <v>457405554.0003069</v>
      </c>
      <c r="AD29" s="18">
        <f t="shared" si="23"/>
        <v>1047365388.9144068</v>
      </c>
      <c r="AE29" s="5">
        <f t="shared" si="24"/>
        <v>-107099961.75008035</v>
      </c>
      <c r="AF29" s="5">
        <v>20</v>
      </c>
      <c r="AG29" s="36">
        <f t="shared" si="40"/>
        <v>148.47201468959375</v>
      </c>
      <c r="AH29" s="5">
        <f t="shared" si="32"/>
        <v>-72154267.431309134</v>
      </c>
      <c r="AI29" s="5">
        <f t="shared" si="41"/>
        <v>-15.182234645632684</v>
      </c>
      <c r="AJ29" s="18">
        <f t="shared" si="42"/>
        <v>-3217024991.2931132</v>
      </c>
      <c r="AK29" s="18">
        <f t="shared" si="25"/>
        <v>-804457.36216381926</v>
      </c>
      <c r="AL29" s="20">
        <f t="shared" si="26"/>
        <v>-0.80445736216381925</v>
      </c>
    </row>
    <row r="30" spans="1:38" ht="15" x14ac:dyDescent="0.25">
      <c r="A30" s="38">
        <v>21</v>
      </c>
      <c r="B30" s="16">
        <v>2045</v>
      </c>
      <c r="C30" s="17">
        <f t="shared" si="35"/>
        <v>952470.82071526162</v>
      </c>
      <c r="D30" s="37">
        <f t="shared" si="33"/>
        <v>2639413079.4292946</v>
      </c>
      <c r="E30" s="25">
        <f t="shared" si="7"/>
        <v>1638000</v>
      </c>
      <c r="F30" s="25">
        <f t="shared" si="27"/>
        <v>17513100.969551686</v>
      </c>
      <c r="G30" s="27">
        <f t="shared" si="8"/>
        <v>2658564180.3988461</v>
      </c>
      <c r="H30" s="29">
        <f t="shared" si="36"/>
        <v>143971284.32863593</v>
      </c>
      <c r="I30" s="5">
        <f t="shared" si="10"/>
        <v>0</v>
      </c>
      <c r="J30" s="34">
        <f t="shared" si="0"/>
        <v>2332023527.3079987</v>
      </c>
      <c r="K30" s="33">
        <f t="shared" si="11"/>
        <v>2475994811.6366348</v>
      </c>
      <c r="L30" s="5">
        <f t="shared" si="37"/>
        <v>7064.2016182975522</v>
      </c>
      <c r="M30" s="33">
        <f t="shared" si="28"/>
        <v>244879306.40158546</v>
      </c>
      <c r="N30" s="33">
        <f t="shared" si="13"/>
        <v>2720881182.2398386</v>
      </c>
      <c r="O30" s="33">
        <f t="shared" si="14"/>
        <v>2591559932716690.5</v>
      </c>
      <c r="P30" s="5">
        <f t="shared" si="29"/>
        <v>46581801.183457457</v>
      </c>
      <c r="Q30" s="5">
        <f t="shared" si="30"/>
        <v>1866926862.2634466</v>
      </c>
      <c r="R30" s="5">
        <f t="shared" si="15"/>
        <v>166392057.69103512</v>
      </c>
      <c r="S30" s="5">
        <f t="shared" si="16"/>
        <v>2079900721.137939</v>
      </c>
      <c r="T30" s="40">
        <f t="shared" si="17"/>
        <v>1063425672.1595385</v>
      </c>
      <c r="U30" s="35">
        <f t="shared" si="18"/>
        <v>1595138508.2393076</v>
      </c>
      <c r="V30" s="5">
        <f t="shared" si="1"/>
        <v>183974936.45775479</v>
      </c>
      <c r="W30" s="5">
        <f t="shared" si="38"/>
        <v>4047448602.0706038</v>
      </c>
      <c r="X30" s="39">
        <f t="shared" si="2"/>
        <v>-1374308499.6929703</v>
      </c>
      <c r="Y30" s="38">
        <f t="shared" si="39"/>
        <v>1126562945.5445409</v>
      </c>
      <c r="Z30" s="5">
        <f t="shared" si="19"/>
        <v>-247745554.14842939</v>
      </c>
      <c r="AA30" s="5">
        <f t="shared" si="20"/>
        <v>-32206922.039295822</v>
      </c>
      <c r="AB30" s="35">
        <f t="shared" si="21"/>
        <v>1411163571.7815528</v>
      </c>
      <c r="AC30" s="5">
        <f t="shared" si="22"/>
        <v>493907250.12354344</v>
      </c>
      <c r="AD30" s="18">
        <f t="shared" si="23"/>
        <v>1133438180.1550601</v>
      </c>
      <c r="AE30" s="5">
        <f t="shared" si="24"/>
        <v>-247745554.14842939</v>
      </c>
      <c r="AF30" s="5">
        <v>21</v>
      </c>
      <c r="AG30" s="36">
        <f t="shared" si="40"/>
        <v>73.033403587051239</v>
      </c>
      <c r="AH30" s="5">
        <f t="shared" si="32"/>
        <v>-72154194.397905543</v>
      </c>
      <c r="AI30" s="5">
        <f t="shared" si="41"/>
        <v>-15.963553513385786</v>
      </c>
      <c r="AJ30" s="18">
        <f t="shared" si="42"/>
        <v>-3217024919.0410285</v>
      </c>
      <c r="AK30" s="18">
        <f t="shared" si="25"/>
        <v>-804457.34409628122</v>
      </c>
      <c r="AL30" s="20">
        <f t="shared" si="26"/>
        <v>-0.80445734409628122</v>
      </c>
    </row>
    <row r="31" spans="1:38" ht="15" x14ac:dyDescent="0.25">
      <c r="A31" s="38">
        <v>22</v>
      </c>
      <c r="B31" s="16">
        <v>2046</v>
      </c>
      <c r="C31" s="17">
        <f t="shared" si="35"/>
        <v>981044.94533671963</v>
      </c>
      <c r="D31" s="37">
        <f t="shared" si="33"/>
        <v>2824171994.9893456</v>
      </c>
      <c r="E31" s="25">
        <f t="shared" si="7"/>
        <v>1638000</v>
      </c>
      <c r="F31" s="25">
        <f t="shared" si="27"/>
        <v>18739018.037420306</v>
      </c>
      <c r="G31" s="27">
        <f t="shared" si="8"/>
        <v>2844549013.0267658</v>
      </c>
      <c r="H31" s="29">
        <f t="shared" si="36"/>
        <v>148290422.85849503</v>
      </c>
      <c r="I31" s="5">
        <f t="shared" si="10"/>
        <v>0</v>
      </c>
      <c r="J31" s="34">
        <f t="shared" si="0"/>
        <v>2401984233.1272388</v>
      </c>
      <c r="K31" s="33">
        <f t="shared" si="11"/>
        <v>2550274655.985734</v>
      </c>
      <c r="L31" s="5">
        <f t="shared" si="37"/>
        <v>7346.7696830294517</v>
      </c>
      <c r="M31" s="33">
        <f t="shared" si="28"/>
        <v>252225692.58020607</v>
      </c>
      <c r="N31" s="33">
        <f t="shared" si="13"/>
        <v>2802507695.3356228</v>
      </c>
      <c r="O31" s="33">
        <f t="shared" si="14"/>
        <v>2749386008776272</v>
      </c>
      <c r="P31" s="5">
        <f t="shared" si="29"/>
        <v>48445073.230795756</v>
      </c>
      <c r="Q31" s="5">
        <f t="shared" si="30"/>
        <v>1941603936.7539845</v>
      </c>
      <c r="R31" s="5">
        <f t="shared" si="15"/>
        <v>173047739.99867654</v>
      </c>
      <c r="S31" s="5">
        <f t="shared" si="16"/>
        <v>2163096749.9834566</v>
      </c>
      <c r="T31" s="40">
        <f t="shared" si="17"/>
        <v>1137819605.2107065</v>
      </c>
      <c r="U31" s="35">
        <f t="shared" si="18"/>
        <v>1706729407.8160594</v>
      </c>
      <c r="V31" s="5">
        <f t="shared" si="1"/>
        <v>183974936.45775479</v>
      </c>
      <c r="W31" s="5">
        <f t="shared" si="38"/>
        <v>4231423538.5283585</v>
      </c>
      <c r="X31" s="39">
        <f t="shared" si="2"/>
        <v>-1558283436.1507249</v>
      </c>
      <c r="Y31" s="38">
        <f t="shared" si="39"/>
        <v>1171625463.3663225</v>
      </c>
      <c r="Z31" s="5">
        <f t="shared" si="19"/>
        <v>-386657972.78440237</v>
      </c>
      <c r="AA31" s="5">
        <f t="shared" si="20"/>
        <v>-50265536.461972311</v>
      </c>
      <c r="AB31" s="35">
        <f t="shared" si="21"/>
        <v>1522754471.3583045</v>
      </c>
      <c r="AC31" s="5">
        <f t="shared" si="22"/>
        <v>532964064.97540653</v>
      </c>
      <c r="AD31" s="18">
        <f t="shared" si="23"/>
        <v>1224030879.3026252</v>
      </c>
      <c r="AE31" s="5">
        <f t="shared" si="24"/>
        <v>-386657972.78440237</v>
      </c>
      <c r="AF31" s="5">
        <v>22</v>
      </c>
      <c r="AG31" s="36">
        <f t="shared" si="40"/>
        <v>35.850349677126196</v>
      </c>
      <c r="AH31" s="5">
        <f t="shared" si="32"/>
        <v>-72154158.547555864</v>
      </c>
      <c r="AI31" s="5">
        <f t="shared" si="41"/>
        <v>-11.32473352115688</v>
      </c>
      <c r="AJ31" s="18">
        <f t="shared" si="42"/>
        <v>-3217024878.5518584</v>
      </c>
      <c r="AK31" s="18">
        <f t="shared" si="25"/>
        <v>-804457.33397145744</v>
      </c>
      <c r="AL31" s="20">
        <f t="shared" si="26"/>
        <v>-0.80445733397145747</v>
      </c>
    </row>
    <row r="32" spans="1:38" ht="15" x14ac:dyDescent="0.25">
      <c r="A32" s="38">
        <v>23</v>
      </c>
      <c r="B32" s="16">
        <v>2047</v>
      </c>
      <c r="C32" s="17">
        <f t="shared" si="35"/>
        <v>1010476.2936968212</v>
      </c>
      <c r="D32" s="37">
        <f t="shared" si="33"/>
        <v>3021864034.6385999</v>
      </c>
      <c r="E32" s="25">
        <f t="shared" si="7"/>
        <v>1638000</v>
      </c>
      <c r="F32" s="25">
        <f t="shared" si="27"/>
        <v>20050749.300039727</v>
      </c>
      <c r="G32" s="27">
        <f t="shared" si="8"/>
        <v>3043552783.9386396</v>
      </c>
      <c r="H32" s="29">
        <f t="shared" si="36"/>
        <v>152739135.54424989</v>
      </c>
      <c r="I32" s="5">
        <f t="shared" si="10"/>
        <v>0</v>
      </c>
      <c r="J32" s="34">
        <f t="shared" si="0"/>
        <v>2474043760.1210556</v>
      </c>
      <c r="K32" s="33">
        <f t="shared" si="11"/>
        <v>2626782895.6653056</v>
      </c>
      <c r="L32" s="5">
        <f t="shared" si="37"/>
        <v>7640.6404703506305</v>
      </c>
      <c r="M32" s="33">
        <f t="shared" si="28"/>
        <v>259792470.62364817</v>
      </c>
      <c r="N32" s="33">
        <f t="shared" si="13"/>
        <v>2886583006.9294243</v>
      </c>
      <c r="O32" s="33">
        <f t="shared" si="14"/>
        <v>2916823698290270</v>
      </c>
      <c r="P32" s="5">
        <f t="shared" si="29"/>
        <v>50382876.160027586</v>
      </c>
      <c r="Q32" s="5">
        <f t="shared" si="30"/>
        <v>2019268094.224144</v>
      </c>
      <c r="R32" s="5">
        <f t="shared" si="15"/>
        <v>179969649.5986236</v>
      </c>
      <c r="S32" s="5">
        <f t="shared" si="16"/>
        <v>2249620619.9827952</v>
      </c>
      <c r="T32" s="40">
        <f t="shared" si="17"/>
        <v>1217421113.5754559</v>
      </c>
      <c r="U32" s="35">
        <f t="shared" si="18"/>
        <v>1826131670.3631837</v>
      </c>
      <c r="V32" s="5">
        <f t="shared" si="1"/>
        <v>183974936.45775479</v>
      </c>
      <c r="W32" s="5">
        <f t="shared" si="38"/>
        <v>4415398474.9861135</v>
      </c>
      <c r="X32" s="39">
        <f t="shared" si="2"/>
        <v>-1742258372.60848</v>
      </c>
      <c r="Y32" s="38">
        <f t="shared" si="39"/>
        <v>1218490481.9009755</v>
      </c>
      <c r="Z32" s="5">
        <f t="shared" si="19"/>
        <v>-523767890.70750451</v>
      </c>
      <c r="AA32" s="5">
        <f t="shared" si="20"/>
        <v>-68089825.791975588</v>
      </c>
      <c r="AB32" s="35">
        <f t="shared" si="21"/>
        <v>1642156733.9054289</v>
      </c>
      <c r="AC32" s="5">
        <f t="shared" si="22"/>
        <v>574754856.86690009</v>
      </c>
      <c r="AD32" s="18">
        <f t="shared" si="23"/>
        <v>1319466639.288259</v>
      </c>
      <c r="AE32" s="5">
        <f t="shared" si="24"/>
        <v>-523767890.70750451</v>
      </c>
      <c r="AF32" s="5">
        <v>23</v>
      </c>
      <c r="AG32" s="36">
        <f t="shared" si="40"/>
        <v>17.566156810126262</v>
      </c>
      <c r="AH32" s="5">
        <f t="shared" si="32"/>
        <v>-72154140.981399059</v>
      </c>
      <c r="AI32" s="5">
        <f t="shared" si="41"/>
        <v>-6.9729606087199301</v>
      </c>
      <c r="AJ32" s="18">
        <f t="shared" si="42"/>
        <v>-3217024856.6339288</v>
      </c>
      <c r="AK32" s="18">
        <f t="shared" si="25"/>
        <v>-804457.32849060488</v>
      </c>
      <c r="AL32" s="20">
        <f t="shared" si="26"/>
        <v>-0.80445732849060492</v>
      </c>
    </row>
    <row r="33" spans="1:38" ht="15" x14ac:dyDescent="0.25">
      <c r="A33" s="38">
        <v>24</v>
      </c>
      <c r="B33" s="16">
        <v>2048</v>
      </c>
      <c r="C33" s="17">
        <f t="shared" si="35"/>
        <v>1040790.5825077257</v>
      </c>
      <c r="D33" s="37">
        <f t="shared" si="33"/>
        <v>3233394517.063302</v>
      </c>
      <c r="E33" s="25">
        <f t="shared" si="7"/>
        <v>1638000</v>
      </c>
      <c r="F33" s="25">
        <f t="shared" si="27"/>
        <v>21454301.751042508</v>
      </c>
      <c r="G33" s="27">
        <f t="shared" si="8"/>
        <v>3256486818.8143444</v>
      </c>
      <c r="H33" s="29">
        <f t="shared" si="36"/>
        <v>157321309.61057737</v>
      </c>
      <c r="I33" s="5">
        <f t="shared" si="10"/>
        <v>0</v>
      </c>
      <c r="J33" s="34">
        <f t="shared" si="0"/>
        <v>1217065590.7837999</v>
      </c>
      <c r="K33" s="33">
        <f t="shared" si="11"/>
        <v>1374386900.3943772</v>
      </c>
      <c r="L33" s="5">
        <f t="shared" si="37"/>
        <v>7946.2660891646574</v>
      </c>
      <c r="M33" s="33">
        <f t="shared" si="28"/>
        <v>135929160.65872747</v>
      </c>
      <c r="N33" s="33">
        <f t="shared" si="13"/>
        <v>1510324007.3191938</v>
      </c>
      <c r="O33" s="33">
        <f t="shared" si="14"/>
        <v>1571931003353146.3</v>
      </c>
      <c r="P33" s="5">
        <f t="shared" si="29"/>
        <v>52398191.206428692</v>
      </c>
      <c r="Q33" s="5">
        <f t="shared" si="30"/>
        <v>2100038817.9931097</v>
      </c>
      <c r="R33" s="5">
        <f t="shared" si="15"/>
        <v>187168435.58256856</v>
      </c>
      <c r="S33" s="5">
        <f t="shared" si="16"/>
        <v>2339605444.7821069</v>
      </c>
      <c r="T33" s="40">
        <f t="shared" si="17"/>
        <v>1302594727.5257378</v>
      </c>
      <c r="U33" s="35">
        <f t="shared" si="18"/>
        <v>1953892091.2886066</v>
      </c>
      <c r="V33" s="5">
        <f t="shared" si="1"/>
        <v>183974936.45775479</v>
      </c>
      <c r="W33" s="5">
        <f t="shared" si="38"/>
        <v>4599373411.4438686</v>
      </c>
      <c r="X33" s="39">
        <f t="shared" si="2"/>
        <v>-1926233309.0662351</v>
      </c>
      <c r="Y33" s="38">
        <f t="shared" si="39"/>
        <v>1267230101.1770146</v>
      </c>
      <c r="Z33" s="5">
        <f t="shared" si="19"/>
        <v>-659003207.88922048</v>
      </c>
      <c r="AA33" s="5">
        <f t="shared" si="20"/>
        <v>-85670417.02559866</v>
      </c>
      <c r="AB33" s="35">
        <f t="shared" si="21"/>
        <v>1769917154.8308518</v>
      </c>
      <c r="AC33" s="5">
        <f t="shared" si="22"/>
        <v>619471004.19079804</v>
      </c>
      <c r="AD33" s="18">
        <f t="shared" si="23"/>
        <v>1420091504.1234074</v>
      </c>
      <c r="AE33" s="5">
        <f t="shared" si="24"/>
        <v>-659003207.88922048</v>
      </c>
      <c r="AF33" s="5">
        <v>24</v>
      </c>
      <c r="AG33" s="36">
        <f t="shared" si="40"/>
        <v>8.5935377576006644</v>
      </c>
      <c r="AH33" s="5">
        <f t="shared" si="32"/>
        <v>-72154132.387861297</v>
      </c>
      <c r="AI33" s="5">
        <f t="shared" si="41"/>
        <v>-3.9878901697054596</v>
      </c>
      <c r="AJ33" s="18">
        <f t="shared" si="42"/>
        <v>-3217024845.0553207</v>
      </c>
      <c r="AK33" s="18">
        <f t="shared" si="25"/>
        <v>-804457.32559522905</v>
      </c>
      <c r="AL33" s="20">
        <f t="shared" si="26"/>
        <v>-0.80445732559522909</v>
      </c>
    </row>
    <row r="34" spans="1:38" ht="15" customHeight="1" x14ac:dyDescent="0.3">
      <c r="L34" s="23"/>
    </row>
    <row r="35" spans="1:38" ht="15" customHeight="1" x14ac:dyDescent="0.3">
      <c r="L35" s="23"/>
      <c r="AB35" s="19" t="s">
        <v>11</v>
      </c>
      <c r="AC35" s="19">
        <f>AC36*0.85</f>
        <v>2673140102.3776336</v>
      </c>
      <c r="AE35" s="22" t="s">
        <v>19</v>
      </c>
      <c r="AF35" s="22">
        <v>1.2</v>
      </c>
    </row>
    <row r="36" spans="1:38" ht="14.4" x14ac:dyDescent="0.3">
      <c r="B36" s="47">
        <v>640000</v>
      </c>
      <c r="C36" s="47"/>
      <c r="E36" s="2">
        <v>2043525960.6417201</v>
      </c>
      <c r="F36" s="45"/>
      <c r="L36" s="23"/>
      <c r="AB36" s="19" t="s">
        <v>9</v>
      </c>
      <c r="AC36" s="19">
        <f>AC38/0.65</f>
        <v>3144870708.6795692</v>
      </c>
    </row>
    <row r="37" spans="1:38" x14ac:dyDescent="0.3">
      <c r="B37" s="48" t="s">
        <v>49</v>
      </c>
      <c r="C37" s="49"/>
      <c r="E37" s="49" t="s">
        <v>34</v>
      </c>
      <c r="F37" s="46"/>
      <c r="L37" s="23"/>
      <c r="AB37" s="19" t="s">
        <v>10</v>
      </c>
      <c r="AC37" s="19">
        <f>AC36*0.15</f>
        <v>471730606.30193537</v>
      </c>
    </row>
    <row r="38" spans="1:38" ht="14.4" x14ac:dyDescent="0.3">
      <c r="B38" s="49"/>
      <c r="C38" s="49"/>
      <c r="E38" s="49"/>
      <c r="F38" s="46"/>
      <c r="L38" s="23"/>
      <c r="AB38" s="22" t="s">
        <v>12</v>
      </c>
      <c r="AC38" s="1">
        <f>B36+E36</f>
        <v>2044165960.6417201</v>
      </c>
      <c r="AE38" s="19" t="s">
        <v>23</v>
      </c>
      <c r="AF38" s="19">
        <f>AC38*0.1</f>
        <v>204416596.06417203</v>
      </c>
    </row>
    <row r="39" spans="1:38" x14ac:dyDescent="0.3">
      <c r="B39" s="49"/>
      <c r="C39" s="49"/>
      <c r="E39" s="49"/>
      <c r="F39" s="46"/>
      <c r="L39" s="23"/>
    </row>
    <row r="40" spans="1:38" x14ac:dyDescent="0.3">
      <c r="L40" s="23"/>
    </row>
    <row r="41" spans="1:38" ht="14.4" x14ac:dyDescent="0.3">
      <c r="B41" s="26" t="s">
        <v>50</v>
      </c>
      <c r="C41" s="42">
        <v>0.03</v>
      </c>
      <c r="L41" s="23"/>
    </row>
    <row r="42" spans="1:38" x14ac:dyDescent="0.3">
      <c r="L42" s="23"/>
    </row>
  </sheetData>
  <mergeCells count="11">
    <mergeCell ref="V7:Z7"/>
    <mergeCell ref="AA7:AE7"/>
    <mergeCell ref="L7:O7"/>
    <mergeCell ref="P7:S7"/>
    <mergeCell ref="C7:D7"/>
    <mergeCell ref="H7:K7"/>
    <mergeCell ref="B36:C36"/>
    <mergeCell ref="B37:C39"/>
    <mergeCell ref="E37:E39"/>
    <mergeCell ref="B1:D1"/>
    <mergeCell ref="B2:D2"/>
  </mergeCells>
  <dataValidations count="2">
    <dataValidation type="list" allowBlank="1" showInputMessage="1" showErrorMessage="1" sqref="G2" xr:uid="{0C45E122-6E97-4FD6-A9B3-A3E8ADF36A97}">
      <formula1>"Aire, Agua"</formula1>
    </dataValidation>
    <dataValidation type="list" allowBlank="1" showInputMessage="1" showErrorMessage="1" sqref="G1 G3:G5" xr:uid="{2EF95E80-A990-4615-9660-CF82C08D9E23}">
      <formula1>"Si, No"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presente neto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PabloAC</dc:creator>
  <cp:lastModifiedBy>Carlos Jovany</cp:lastModifiedBy>
  <cp:lastPrinted>2018-05-09T23:28:36Z</cp:lastPrinted>
  <dcterms:created xsi:type="dcterms:W3CDTF">2018-05-06T01:03:43Z</dcterms:created>
  <dcterms:modified xsi:type="dcterms:W3CDTF">2024-11-26T17:32:04Z</dcterms:modified>
</cp:coreProperties>
</file>