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REDATOR TRITON\OneDrive\Escritorio\"/>
    </mc:Choice>
  </mc:AlternateContent>
  <xr:revisionPtr revIDLastSave="0" documentId="8_{709460F9-8FB2-4724-8AA0-7B7463E6A21C}" xr6:coauthVersionLast="47" xr6:coauthVersionMax="47" xr10:uidLastSave="{00000000-0000-0000-0000-000000000000}"/>
  <bookViews>
    <workbookView xWindow="-108" yWindow="-108" windowWidth="23256" windowHeight="12456" tabRatio="625" xr2:uid="{DF7EC3B3-73CD-45EE-B5BB-2CE5ED20BB56}"/>
  </bookViews>
  <sheets>
    <sheet name="GENERAL" sheetId="12" r:id="rId1"/>
    <sheet name="1" sheetId="4" r:id="rId2"/>
    <sheet name="2" sheetId="10" r:id="rId3"/>
    <sheet name="3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7" i="11" l="1"/>
  <c r="G7" i="4"/>
  <c r="E7" i="11"/>
  <c r="E7" i="10"/>
  <c r="E7" i="4"/>
  <c r="F171" i="11"/>
  <c r="D133" i="11"/>
  <c r="D125" i="11"/>
  <c r="R112" i="11"/>
  <c r="R113" i="11" s="1"/>
  <c r="R114" i="11" s="1"/>
  <c r="R115" i="11" s="1"/>
  <c r="R116" i="11" s="1"/>
  <c r="R117" i="11" s="1"/>
  <c r="R118" i="11" s="1"/>
  <c r="R119" i="11" s="1"/>
  <c r="R120" i="11" s="1"/>
  <c r="R121" i="11" s="1"/>
  <c r="R122" i="11" s="1"/>
  <c r="R123" i="11" s="1"/>
  <c r="R124" i="11" s="1"/>
  <c r="R125" i="11" s="1"/>
  <c r="R126" i="11" s="1"/>
  <c r="R127" i="11" s="1"/>
  <c r="R128" i="11" s="1"/>
  <c r="R129" i="11" s="1"/>
  <c r="R130" i="11" s="1"/>
  <c r="R131" i="11" s="1"/>
  <c r="R132" i="11" s="1"/>
  <c r="R133" i="11" s="1"/>
  <c r="R134" i="11" s="1"/>
  <c r="R135" i="11" s="1"/>
  <c r="R136" i="11" s="1"/>
  <c r="D107" i="11"/>
  <c r="R98" i="11"/>
  <c r="R99" i="11" s="1"/>
  <c r="R100" i="11" s="1"/>
  <c r="R101" i="11" s="1"/>
  <c r="R102" i="11" s="1"/>
  <c r="R103" i="11" s="1"/>
  <c r="R104" i="11" s="1"/>
  <c r="R105" i="11" s="1"/>
  <c r="R106" i="11" s="1"/>
  <c r="R107" i="11" s="1"/>
  <c r="R108" i="11" s="1"/>
  <c r="R109" i="11" s="1"/>
  <c r="R110" i="11" s="1"/>
  <c r="R111" i="11" s="1"/>
  <c r="E98" i="11"/>
  <c r="E99" i="11" s="1"/>
  <c r="B57" i="1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D56" i="11"/>
  <c r="C56" i="11"/>
  <c r="B56" i="11"/>
  <c r="F55" i="11"/>
  <c r="E55" i="11"/>
  <c r="D55" i="11"/>
  <c r="C55" i="11"/>
  <c r="G55" i="11" s="1"/>
  <c r="C12" i="11"/>
  <c r="D12" i="11" s="1"/>
  <c r="B12" i="11"/>
  <c r="F56" i="11" s="1"/>
  <c r="D11" i="11"/>
  <c r="F171" i="10"/>
  <c r="D133" i="10"/>
  <c r="D125" i="10"/>
  <c r="D107" i="10"/>
  <c r="R98" i="10"/>
  <c r="R99" i="10" s="1"/>
  <c r="R100" i="10" s="1"/>
  <c r="R101" i="10" s="1"/>
  <c r="R102" i="10" s="1"/>
  <c r="R103" i="10" s="1"/>
  <c r="R104" i="10" s="1"/>
  <c r="R105" i="10" s="1"/>
  <c r="R106" i="10" s="1"/>
  <c r="R107" i="10" s="1"/>
  <c r="R108" i="10" s="1"/>
  <c r="R109" i="10" s="1"/>
  <c r="R110" i="10" s="1"/>
  <c r="R111" i="10" s="1"/>
  <c r="R112" i="10" s="1"/>
  <c r="R113" i="10" s="1"/>
  <c r="R114" i="10" s="1"/>
  <c r="R115" i="10" s="1"/>
  <c r="R116" i="10" s="1"/>
  <c r="R117" i="10" s="1"/>
  <c r="R118" i="10" s="1"/>
  <c r="R119" i="10" s="1"/>
  <c r="R120" i="10" s="1"/>
  <c r="R121" i="10" s="1"/>
  <c r="R122" i="10" s="1"/>
  <c r="R123" i="10" s="1"/>
  <c r="R124" i="10" s="1"/>
  <c r="R125" i="10" s="1"/>
  <c r="R126" i="10" s="1"/>
  <c r="R127" i="10" s="1"/>
  <c r="R128" i="10" s="1"/>
  <c r="R129" i="10" s="1"/>
  <c r="R130" i="10" s="1"/>
  <c r="R131" i="10" s="1"/>
  <c r="R132" i="10" s="1"/>
  <c r="R133" i="10" s="1"/>
  <c r="R134" i="10" s="1"/>
  <c r="R135" i="10" s="1"/>
  <c r="R136" i="10" s="1"/>
  <c r="E98" i="10"/>
  <c r="B63" i="10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86" i="10" s="1"/>
  <c r="B87" i="10" s="1"/>
  <c r="B88" i="10" s="1"/>
  <c r="B89" i="10" s="1"/>
  <c r="B90" i="10" s="1"/>
  <c r="B91" i="10" s="1"/>
  <c r="B92" i="10" s="1"/>
  <c r="B93" i="10" s="1"/>
  <c r="B94" i="10" s="1"/>
  <c r="B60" i="10"/>
  <c r="B61" i="10" s="1"/>
  <c r="B62" i="10" s="1"/>
  <c r="B58" i="10"/>
  <c r="B59" i="10" s="1"/>
  <c r="B57" i="10"/>
  <c r="B56" i="10"/>
  <c r="F55" i="10"/>
  <c r="G55" i="10" s="1"/>
  <c r="E55" i="10"/>
  <c r="D55" i="10"/>
  <c r="C55" i="10"/>
  <c r="C14" i="10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C49" i="10" s="1"/>
  <c r="C50" i="10" s="1"/>
  <c r="C51" i="10" s="1"/>
  <c r="C13" i="10"/>
  <c r="C12" i="10"/>
  <c r="B12" i="10"/>
  <c r="F56" i="10" s="1"/>
  <c r="D11" i="10"/>
  <c r="G7" i="10"/>
  <c r="D105" i="10"/>
  <c r="D109" i="10" s="1"/>
  <c r="D115" i="10" s="1"/>
  <c r="D12" i="10" l="1"/>
  <c r="E12" i="10" s="1"/>
  <c r="G11" i="10"/>
  <c r="E56" i="10"/>
  <c r="E12" i="11"/>
  <c r="D105" i="11"/>
  <c r="D109" i="11" s="1"/>
  <c r="D115" i="11" s="1"/>
  <c r="G7" i="11"/>
  <c r="F12" i="11" s="1"/>
  <c r="C13" i="1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34" i="11" s="1"/>
  <c r="C35" i="11" s="1"/>
  <c r="C36" i="11" s="1"/>
  <c r="C37" i="11" s="1"/>
  <c r="C38" i="11" s="1"/>
  <c r="C39" i="11" s="1"/>
  <c r="C40" i="11" s="1"/>
  <c r="C41" i="11" s="1"/>
  <c r="C42" i="11" s="1"/>
  <c r="C43" i="11" s="1"/>
  <c r="C44" i="11" s="1"/>
  <c r="C45" i="11" s="1"/>
  <c r="C46" i="11" s="1"/>
  <c r="C47" i="11" s="1"/>
  <c r="C48" i="11" s="1"/>
  <c r="C49" i="11" s="1"/>
  <c r="C50" i="11" s="1"/>
  <c r="C51" i="11" s="1"/>
  <c r="E100" i="11"/>
  <c r="B13" i="11"/>
  <c r="E56" i="11"/>
  <c r="G56" i="11" s="1"/>
  <c r="F97" i="10"/>
  <c r="G97" i="10" s="1"/>
  <c r="S97" i="10" s="1"/>
  <c r="E99" i="10"/>
  <c r="F11" i="10"/>
  <c r="D56" i="10"/>
  <c r="B13" i="10"/>
  <c r="C56" i="10"/>
  <c r="F171" i="4"/>
  <c r="F55" i="4"/>
  <c r="E55" i="4"/>
  <c r="D55" i="4"/>
  <c r="C55" i="4"/>
  <c r="D105" i="4"/>
  <c r="R98" i="4"/>
  <c r="R99" i="4" s="1"/>
  <c r="R100" i="4" s="1"/>
  <c r="R101" i="4" s="1"/>
  <c r="R102" i="4" s="1"/>
  <c r="R103" i="4" s="1"/>
  <c r="R104" i="4" s="1"/>
  <c r="R105" i="4" s="1"/>
  <c r="R106" i="4" s="1"/>
  <c r="R107" i="4" s="1"/>
  <c r="R108" i="4" s="1"/>
  <c r="R109" i="4" s="1"/>
  <c r="R110" i="4" s="1"/>
  <c r="R111" i="4" s="1"/>
  <c r="R112" i="4" s="1"/>
  <c r="R113" i="4" s="1"/>
  <c r="R114" i="4" s="1"/>
  <c r="R115" i="4" s="1"/>
  <c r="R116" i="4" s="1"/>
  <c r="R117" i="4" s="1"/>
  <c r="R118" i="4" s="1"/>
  <c r="R119" i="4" s="1"/>
  <c r="R120" i="4" s="1"/>
  <c r="R121" i="4" s="1"/>
  <c r="R122" i="4" s="1"/>
  <c r="R123" i="4" s="1"/>
  <c r="R124" i="4" s="1"/>
  <c r="R125" i="4" s="1"/>
  <c r="R126" i="4" s="1"/>
  <c r="R127" i="4" s="1"/>
  <c r="R128" i="4" s="1"/>
  <c r="R129" i="4" s="1"/>
  <c r="R130" i="4" s="1"/>
  <c r="R131" i="4" s="1"/>
  <c r="R132" i="4" s="1"/>
  <c r="R133" i="4" s="1"/>
  <c r="R134" i="4" s="1"/>
  <c r="R135" i="4" s="1"/>
  <c r="R136" i="4" s="1"/>
  <c r="D133" i="4"/>
  <c r="D125" i="4"/>
  <c r="D107" i="4"/>
  <c r="E98" i="4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B56" i="4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G12" i="11" l="1"/>
  <c r="F98" i="11" s="1"/>
  <c r="G98" i="11" s="1"/>
  <c r="S98" i="11" s="1"/>
  <c r="G12" i="10"/>
  <c r="F98" i="10" s="1"/>
  <c r="G98" i="10" s="1"/>
  <c r="F12" i="10"/>
  <c r="F57" i="11"/>
  <c r="D57" i="11"/>
  <c r="B14" i="11"/>
  <c r="C57" i="11"/>
  <c r="E57" i="11"/>
  <c r="D13" i="11"/>
  <c r="G11" i="11"/>
  <c r="F11" i="11"/>
  <c r="E101" i="11"/>
  <c r="G56" i="10"/>
  <c r="D57" i="10"/>
  <c r="E57" i="10"/>
  <c r="B14" i="10"/>
  <c r="C57" i="10"/>
  <c r="D13" i="10"/>
  <c r="F57" i="10"/>
  <c r="E100" i="10"/>
  <c r="D109" i="4"/>
  <c r="D115" i="4" s="1"/>
  <c r="G55" i="4"/>
  <c r="S98" i="10" l="1"/>
  <c r="F58" i="11"/>
  <c r="C58" i="11"/>
  <c r="G58" i="11" s="1"/>
  <c r="B15" i="11"/>
  <c r="E58" i="11"/>
  <c r="D14" i="11"/>
  <c r="D58" i="11"/>
  <c r="F97" i="11"/>
  <c r="S97" i="11" s="1"/>
  <c r="E13" i="11"/>
  <c r="G13" i="11"/>
  <c r="F99" i="11" s="1"/>
  <c r="G99" i="11" s="1"/>
  <c r="F13" i="11"/>
  <c r="E102" i="11"/>
  <c r="G57" i="11"/>
  <c r="F13" i="10"/>
  <c r="E13" i="10"/>
  <c r="G13" i="10"/>
  <c r="G57" i="10"/>
  <c r="E101" i="10"/>
  <c r="D58" i="10"/>
  <c r="F58" i="10"/>
  <c r="B15" i="10"/>
  <c r="E58" i="10"/>
  <c r="C58" i="10"/>
  <c r="D14" i="10"/>
  <c r="D11" i="4"/>
  <c r="B12" i="4"/>
  <c r="C12" i="4"/>
  <c r="C13" i="4" s="1"/>
  <c r="S99" i="11" l="1"/>
  <c r="E14" i="11"/>
  <c r="F14" i="11"/>
  <c r="G14" i="11"/>
  <c r="F100" i="11" s="1"/>
  <c r="G100" i="11" s="1"/>
  <c r="S100" i="11" s="1"/>
  <c r="E103" i="11"/>
  <c r="F59" i="11"/>
  <c r="E59" i="11"/>
  <c r="D59" i="11"/>
  <c r="B16" i="11"/>
  <c r="C59" i="11"/>
  <c r="D15" i="11"/>
  <c r="D59" i="10"/>
  <c r="B16" i="10"/>
  <c r="F59" i="10"/>
  <c r="C59" i="10"/>
  <c r="E59" i="10"/>
  <c r="D15" i="10"/>
  <c r="F99" i="10"/>
  <c r="G99" i="10" s="1"/>
  <c r="S99" i="10" s="1"/>
  <c r="E14" i="10"/>
  <c r="G14" i="10"/>
  <c r="F100" i="10" s="1"/>
  <c r="G100" i="10" s="1"/>
  <c r="F14" i="10"/>
  <c r="G58" i="10"/>
  <c r="E102" i="10"/>
  <c r="E56" i="4"/>
  <c r="F56" i="4"/>
  <c r="C56" i="4"/>
  <c r="D56" i="4"/>
  <c r="F11" i="4"/>
  <c r="G11" i="4"/>
  <c r="B13" i="4"/>
  <c r="C14" i="4"/>
  <c r="D12" i="4"/>
  <c r="G59" i="10" l="1"/>
  <c r="S100" i="10"/>
  <c r="E104" i="11"/>
  <c r="E15" i="11"/>
  <c r="F15" i="11"/>
  <c r="G15" i="11"/>
  <c r="F60" i="11"/>
  <c r="D60" i="11"/>
  <c r="B17" i="11"/>
  <c r="C60" i="11"/>
  <c r="D16" i="11"/>
  <c r="E60" i="11"/>
  <c r="G59" i="11"/>
  <c r="E103" i="10"/>
  <c r="D60" i="10"/>
  <c r="B17" i="10"/>
  <c r="C60" i="10"/>
  <c r="F60" i="10"/>
  <c r="E60" i="10"/>
  <c r="D16" i="10"/>
  <c r="F15" i="10"/>
  <c r="G15" i="10"/>
  <c r="E15" i="10"/>
  <c r="G12" i="4"/>
  <c r="F98" i="4" s="1"/>
  <c r="G98" i="4" s="1"/>
  <c r="F12" i="4"/>
  <c r="E12" i="4"/>
  <c r="F97" i="4"/>
  <c r="G97" i="4" s="1"/>
  <c r="S97" i="4" s="1"/>
  <c r="F57" i="4"/>
  <c r="C57" i="4"/>
  <c r="D57" i="4"/>
  <c r="E57" i="4"/>
  <c r="B14" i="4"/>
  <c r="D13" i="4"/>
  <c r="G56" i="4"/>
  <c r="C15" i="4"/>
  <c r="G60" i="10" l="1"/>
  <c r="G60" i="11"/>
  <c r="F101" i="11"/>
  <c r="G101" i="11" s="1"/>
  <c r="S101" i="11" s="1"/>
  <c r="E16" i="11"/>
  <c r="G16" i="11"/>
  <c r="F102" i="11" s="1"/>
  <c r="G102" i="11" s="1"/>
  <c r="F16" i="11"/>
  <c r="F61" i="11"/>
  <c r="C61" i="11"/>
  <c r="B18" i="11"/>
  <c r="D17" i="11"/>
  <c r="E61" i="11"/>
  <c r="D61" i="11"/>
  <c r="E105" i="11"/>
  <c r="G16" i="10"/>
  <c r="F102" i="10" s="1"/>
  <c r="G102" i="10" s="1"/>
  <c r="F16" i="10"/>
  <c r="E16" i="10"/>
  <c r="F101" i="10"/>
  <c r="G101" i="10" s="1"/>
  <c r="S101" i="10" s="1"/>
  <c r="D61" i="10"/>
  <c r="B18" i="10"/>
  <c r="D17" i="10"/>
  <c r="F61" i="10"/>
  <c r="E61" i="10"/>
  <c r="C61" i="10"/>
  <c r="E104" i="10"/>
  <c r="F13" i="4"/>
  <c r="G13" i="4"/>
  <c r="F99" i="4" s="1"/>
  <c r="G99" i="4" s="1"/>
  <c r="E13" i="4"/>
  <c r="D14" i="4"/>
  <c r="F58" i="4"/>
  <c r="C58" i="4"/>
  <c r="D58" i="4"/>
  <c r="E58" i="4"/>
  <c r="S98" i="4"/>
  <c r="G57" i="4"/>
  <c r="B15" i="4"/>
  <c r="C16" i="4"/>
  <c r="G61" i="11" l="1"/>
  <c r="S102" i="10"/>
  <c r="G61" i="10"/>
  <c r="S102" i="11"/>
  <c r="E17" i="11"/>
  <c r="G17" i="11"/>
  <c r="F103" i="11" s="1"/>
  <c r="G103" i="11" s="1"/>
  <c r="F17" i="11"/>
  <c r="E106" i="11"/>
  <c r="F62" i="11"/>
  <c r="E62" i="11"/>
  <c r="D62" i="11"/>
  <c r="B19" i="11"/>
  <c r="C62" i="11"/>
  <c r="D18" i="11"/>
  <c r="G17" i="10"/>
  <c r="F103" i="10" s="1"/>
  <c r="G103" i="10" s="1"/>
  <c r="F17" i="10"/>
  <c r="E17" i="10"/>
  <c r="D62" i="10"/>
  <c r="C62" i="10"/>
  <c r="B19" i="10"/>
  <c r="F62" i="10"/>
  <c r="E62" i="10"/>
  <c r="D18" i="10"/>
  <c r="E105" i="10"/>
  <c r="F14" i="4"/>
  <c r="G14" i="4"/>
  <c r="F100" i="4" s="1"/>
  <c r="G100" i="4" s="1"/>
  <c r="E14" i="4"/>
  <c r="E59" i="4"/>
  <c r="F59" i="4"/>
  <c r="C59" i="4"/>
  <c r="D59" i="4"/>
  <c r="S99" i="4"/>
  <c r="D15" i="4"/>
  <c r="G58" i="4"/>
  <c r="B16" i="4"/>
  <c r="C17" i="4"/>
  <c r="S103" i="11" l="1"/>
  <c r="S103" i="10"/>
  <c r="S100" i="4"/>
  <c r="F63" i="11"/>
  <c r="D63" i="11"/>
  <c r="B20" i="11"/>
  <c r="C63" i="11"/>
  <c r="E63" i="11"/>
  <c r="D19" i="11"/>
  <c r="E18" i="11"/>
  <c r="F18" i="11"/>
  <c r="G18" i="11"/>
  <c r="E107" i="11"/>
  <c r="G62" i="11"/>
  <c r="E18" i="10"/>
  <c r="F18" i="10"/>
  <c r="G18" i="10"/>
  <c r="D63" i="10"/>
  <c r="E63" i="10"/>
  <c r="B20" i="10"/>
  <c r="C63" i="10"/>
  <c r="D19" i="10"/>
  <c r="F63" i="10"/>
  <c r="E106" i="10"/>
  <c r="G62" i="10"/>
  <c r="F60" i="4"/>
  <c r="C60" i="4"/>
  <c r="D60" i="4"/>
  <c r="E60" i="4"/>
  <c r="G15" i="4"/>
  <c r="E15" i="4"/>
  <c r="F15" i="4"/>
  <c r="G59" i="4"/>
  <c r="B17" i="4"/>
  <c r="D16" i="4"/>
  <c r="C18" i="4"/>
  <c r="G63" i="10" l="1"/>
  <c r="E19" i="11"/>
  <c r="G19" i="11"/>
  <c r="F105" i="11" s="1"/>
  <c r="G105" i="11" s="1"/>
  <c r="F19" i="11"/>
  <c r="G63" i="11"/>
  <c r="F64" i="11"/>
  <c r="C64" i="11"/>
  <c r="B21" i="11"/>
  <c r="D64" i="11"/>
  <c r="D20" i="11"/>
  <c r="E64" i="11"/>
  <c r="F104" i="11"/>
  <c r="G104" i="11" s="1"/>
  <c r="S104" i="11" s="1"/>
  <c r="E108" i="11"/>
  <c r="D64" i="10"/>
  <c r="F64" i="10"/>
  <c r="B21" i="10"/>
  <c r="E64" i="10"/>
  <c r="C64" i="10"/>
  <c r="D20" i="10"/>
  <c r="F104" i="10"/>
  <c r="G104" i="10" s="1"/>
  <c r="S104" i="10" s="1"/>
  <c r="E107" i="10"/>
  <c r="F19" i="10"/>
  <c r="G19" i="10"/>
  <c r="F105" i="10" s="1"/>
  <c r="G105" i="10" s="1"/>
  <c r="E19" i="10"/>
  <c r="D61" i="4"/>
  <c r="E61" i="4"/>
  <c r="F61" i="4"/>
  <c r="C61" i="4"/>
  <c r="F16" i="4"/>
  <c r="E16" i="4"/>
  <c r="G16" i="4"/>
  <c r="F102" i="4" s="1"/>
  <c r="G102" i="4" s="1"/>
  <c r="F101" i="4"/>
  <c r="G101" i="4" s="1"/>
  <c r="S101" i="4" s="1"/>
  <c r="G60" i="4"/>
  <c r="B18" i="4"/>
  <c r="D18" i="4" s="1"/>
  <c r="D17" i="4"/>
  <c r="C19" i="4"/>
  <c r="G64" i="11" l="1"/>
  <c r="G64" i="10"/>
  <c r="S105" i="10"/>
  <c r="B19" i="4"/>
  <c r="C63" i="4" s="1"/>
  <c r="S105" i="11"/>
  <c r="E109" i="11"/>
  <c r="E20" i="11"/>
  <c r="G20" i="11"/>
  <c r="F20" i="11"/>
  <c r="F65" i="11"/>
  <c r="E65" i="11"/>
  <c r="D65" i="11"/>
  <c r="B22" i="11"/>
  <c r="D21" i="11"/>
  <c r="C65" i="11"/>
  <c r="E108" i="10"/>
  <c r="D65" i="10"/>
  <c r="B22" i="10"/>
  <c r="F65" i="10"/>
  <c r="E65" i="10"/>
  <c r="C65" i="10"/>
  <c r="D21" i="10"/>
  <c r="E20" i="10"/>
  <c r="G20" i="10"/>
  <c r="F106" i="10" s="1"/>
  <c r="G106" i="10" s="1"/>
  <c r="F20" i="10"/>
  <c r="G18" i="4"/>
  <c r="F104" i="4" s="1"/>
  <c r="G104" i="4" s="1"/>
  <c r="E18" i="4"/>
  <c r="F18" i="4"/>
  <c r="F63" i="4"/>
  <c r="G17" i="4"/>
  <c r="E17" i="4"/>
  <c r="F17" i="4"/>
  <c r="D62" i="4"/>
  <c r="E62" i="4"/>
  <c r="F62" i="4"/>
  <c r="C62" i="4"/>
  <c r="S102" i="4"/>
  <c r="G61" i="4"/>
  <c r="C20" i="4"/>
  <c r="G65" i="11" l="1"/>
  <c r="S106" i="10"/>
  <c r="D19" i="4"/>
  <c r="D63" i="4"/>
  <c r="B20" i="4"/>
  <c r="D20" i="4" s="1"/>
  <c r="E63" i="4"/>
  <c r="G62" i="4"/>
  <c r="S104" i="4" s="1"/>
  <c r="E110" i="11"/>
  <c r="F66" i="11"/>
  <c r="D66" i="11"/>
  <c r="B23" i="11"/>
  <c r="C66" i="11"/>
  <c r="D22" i="11"/>
  <c r="E66" i="11"/>
  <c r="E21" i="11"/>
  <c r="F21" i="11"/>
  <c r="G21" i="11"/>
  <c r="F107" i="11" s="1"/>
  <c r="G107" i="11" s="1"/>
  <c r="F106" i="11"/>
  <c r="G106" i="11" s="1"/>
  <c r="S106" i="11" s="1"/>
  <c r="F21" i="10"/>
  <c r="G21" i="10"/>
  <c r="E21" i="10"/>
  <c r="G65" i="10"/>
  <c r="E109" i="10"/>
  <c r="D66" i="10"/>
  <c r="B23" i="10"/>
  <c r="C66" i="10"/>
  <c r="E66" i="10"/>
  <c r="D22" i="10"/>
  <c r="F66" i="10"/>
  <c r="F103" i="4"/>
  <c r="G103" i="4" s="1"/>
  <c r="S103" i="4" s="1"/>
  <c r="F19" i="4"/>
  <c r="G19" i="4"/>
  <c r="F105" i="4" s="1"/>
  <c r="G105" i="4" s="1"/>
  <c r="E19" i="4"/>
  <c r="E64" i="4"/>
  <c r="F64" i="4"/>
  <c r="C64" i="4"/>
  <c r="G63" i="4"/>
  <c r="C21" i="4"/>
  <c r="B21" i="4"/>
  <c r="S107" i="11" l="1"/>
  <c r="D64" i="4"/>
  <c r="G64" i="4" s="1"/>
  <c r="E22" i="11"/>
  <c r="F22" i="11"/>
  <c r="G22" i="11"/>
  <c r="F108" i="11" s="1"/>
  <c r="G108" i="11" s="1"/>
  <c r="G66" i="11"/>
  <c r="F67" i="11"/>
  <c r="C67" i="11"/>
  <c r="B24" i="11"/>
  <c r="E67" i="11"/>
  <c r="D23" i="11"/>
  <c r="D67" i="11"/>
  <c r="E111" i="11"/>
  <c r="G22" i="10"/>
  <c r="F108" i="10" s="1"/>
  <c r="G108" i="10" s="1"/>
  <c r="F22" i="10"/>
  <c r="E22" i="10"/>
  <c r="E110" i="10"/>
  <c r="G66" i="10"/>
  <c r="D67" i="10"/>
  <c r="B24" i="10"/>
  <c r="E67" i="10"/>
  <c r="D23" i="10"/>
  <c r="F67" i="10"/>
  <c r="C67" i="10"/>
  <c r="F107" i="10"/>
  <c r="G107" i="10" s="1"/>
  <c r="S107" i="10" s="1"/>
  <c r="G20" i="4"/>
  <c r="F106" i="4" s="1"/>
  <c r="G106" i="4" s="1"/>
  <c r="F20" i="4"/>
  <c r="E20" i="4"/>
  <c r="E65" i="4"/>
  <c r="F65" i="4"/>
  <c r="C65" i="4"/>
  <c r="D65" i="4"/>
  <c r="S105" i="4"/>
  <c r="D21" i="4"/>
  <c r="C22" i="4"/>
  <c r="B22" i="4"/>
  <c r="S108" i="10" l="1"/>
  <c r="S108" i="11"/>
  <c r="E23" i="11"/>
  <c r="F23" i="11"/>
  <c r="G23" i="11"/>
  <c r="F109" i="11" s="1"/>
  <c r="G109" i="11" s="1"/>
  <c r="F68" i="11"/>
  <c r="E68" i="11"/>
  <c r="D68" i="11"/>
  <c r="B25" i="11"/>
  <c r="C68" i="11"/>
  <c r="D24" i="11"/>
  <c r="G67" i="11"/>
  <c r="E112" i="11"/>
  <c r="G23" i="10"/>
  <c r="F23" i="10"/>
  <c r="E23" i="10"/>
  <c r="D68" i="10"/>
  <c r="C68" i="10"/>
  <c r="B25" i="10"/>
  <c r="F68" i="10"/>
  <c r="E68" i="10"/>
  <c r="D24" i="10"/>
  <c r="G67" i="10"/>
  <c r="E111" i="10"/>
  <c r="E66" i="4"/>
  <c r="F66" i="4"/>
  <c r="C66" i="4"/>
  <c r="D66" i="4"/>
  <c r="G21" i="4"/>
  <c r="E21" i="4"/>
  <c r="F21" i="4"/>
  <c r="S106" i="4"/>
  <c r="G65" i="4"/>
  <c r="D22" i="4"/>
  <c r="C23" i="4"/>
  <c r="B23" i="4"/>
  <c r="S109" i="11" l="1"/>
  <c r="G68" i="11"/>
  <c r="F69" i="11"/>
  <c r="D69" i="11"/>
  <c r="B26" i="11"/>
  <c r="C69" i="11"/>
  <c r="G69" i="11" s="1"/>
  <c r="D25" i="11"/>
  <c r="E69" i="11"/>
  <c r="E24" i="11"/>
  <c r="F24" i="11"/>
  <c r="G24" i="11"/>
  <c r="F110" i="11" s="1"/>
  <c r="G110" i="11" s="1"/>
  <c r="E113" i="11"/>
  <c r="G68" i="10"/>
  <c r="E112" i="10"/>
  <c r="D69" i="10"/>
  <c r="E69" i="10"/>
  <c r="B26" i="10"/>
  <c r="C69" i="10"/>
  <c r="D25" i="10"/>
  <c r="F69" i="10"/>
  <c r="E24" i="10"/>
  <c r="G24" i="10"/>
  <c r="F110" i="10" s="1"/>
  <c r="G110" i="10" s="1"/>
  <c r="F24" i="10"/>
  <c r="F109" i="10"/>
  <c r="G109" i="10" s="1"/>
  <c r="S109" i="10" s="1"/>
  <c r="D67" i="4"/>
  <c r="E67" i="4"/>
  <c r="F67" i="4"/>
  <c r="C67" i="4"/>
  <c r="F22" i="4"/>
  <c r="G22" i="4"/>
  <c r="F108" i="4" s="1"/>
  <c r="G108" i="4" s="1"/>
  <c r="E22" i="4"/>
  <c r="F107" i="4"/>
  <c r="G107" i="4" s="1"/>
  <c r="S107" i="4" s="1"/>
  <c r="G66" i="4"/>
  <c r="D23" i="4"/>
  <c r="C24" i="4"/>
  <c r="B24" i="4"/>
  <c r="F70" i="11" l="1"/>
  <c r="C70" i="11"/>
  <c r="B27" i="11"/>
  <c r="D70" i="11"/>
  <c r="E70" i="11"/>
  <c r="D26" i="11"/>
  <c r="E114" i="11"/>
  <c r="S110" i="11"/>
  <c r="E25" i="11"/>
  <c r="G25" i="11"/>
  <c r="F111" i="11" s="1"/>
  <c r="G111" i="11" s="1"/>
  <c r="S111" i="11" s="1"/>
  <c r="F25" i="11"/>
  <c r="F25" i="10"/>
  <c r="G25" i="10"/>
  <c r="F111" i="10" s="1"/>
  <c r="G111" i="10" s="1"/>
  <c r="E25" i="10"/>
  <c r="G69" i="10"/>
  <c r="D70" i="10"/>
  <c r="F70" i="10"/>
  <c r="B27" i="10"/>
  <c r="E70" i="10"/>
  <c r="C70" i="10"/>
  <c r="D26" i="10"/>
  <c r="E113" i="10"/>
  <c r="S110" i="10"/>
  <c r="E68" i="4"/>
  <c r="F68" i="4"/>
  <c r="C68" i="4"/>
  <c r="D68" i="4"/>
  <c r="G23" i="4"/>
  <c r="E23" i="4"/>
  <c r="F23" i="4"/>
  <c r="G67" i="4"/>
  <c r="S108" i="4"/>
  <c r="D24" i="4"/>
  <c r="C25" i="4"/>
  <c r="B25" i="4"/>
  <c r="S111" i="10" l="1"/>
  <c r="E26" i="11"/>
  <c r="G26" i="11"/>
  <c r="F112" i="11" s="1"/>
  <c r="G112" i="11" s="1"/>
  <c r="F26" i="11"/>
  <c r="E115" i="11"/>
  <c r="F71" i="11"/>
  <c r="E71" i="11"/>
  <c r="D71" i="11"/>
  <c r="B28" i="11"/>
  <c r="D27" i="11"/>
  <c r="C71" i="11"/>
  <c r="G70" i="11"/>
  <c r="G70" i="10"/>
  <c r="E114" i="10"/>
  <c r="E26" i="10"/>
  <c r="G26" i="10"/>
  <c r="F26" i="10"/>
  <c r="D71" i="10"/>
  <c r="B28" i="10"/>
  <c r="F71" i="10"/>
  <c r="E71" i="10"/>
  <c r="C71" i="10"/>
  <c r="D27" i="10"/>
  <c r="F69" i="4"/>
  <c r="C69" i="4"/>
  <c r="D69" i="4"/>
  <c r="E69" i="4"/>
  <c r="E24" i="4"/>
  <c r="G24" i="4"/>
  <c r="F110" i="4" s="1"/>
  <c r="G110" i="4" s="1"/>
  <c r="F24" i="4"/>
  <c r="F109" i="4"/>
  <c r="G109" i="4" s="1"/>
  <c r="S109" i="4" s="1"/>
  <c r="G68" i="4"/>
  <c r="D25" i="4"/>
  <c r="C26" i="4"/>
  <c r="B26" i="4"/>
  <c r="G71" i="11" l="1"/>
  <c r="G71" i="10"/>
  <c r="E116" i="11"/>
  <c r="E27" i="11"/>
  <c r="F27" i="11"/>
  <c r="G27" i="11"/>
  <c r="F72" i="11"/>
  <c r="D72" i="11"/>
  <c r="B29" i="11"/>
  <c r="C72" i="11"/>
  <c r="E72" i="11"/>
  <c r="D28" i="11"/>
  <c r="S112" i="11"/>
  <c r="D72" i="10"/>
  <c r="B29" i="10"/>
  <c r="F72" i="10"/>
  <c r="E72" i="10"/>
  <c r="C72" i="10"/>
  <c r="G72" i="10" s="1"/>
  <c r="D28" i="10"/>
  <c r="F112" i="10"/>
  <c r="G112" i="10" s="1"/>
  <c r="S112" i="10" s="1"/>
  <c r="E115" i="10"/>
  <c r="F27" i="10"/>
  <c r="G27" i="10"/>
  <c r="F113" i="10" s="1"/>
  <c r="G113" i="10" s="1"/>
  <c r="S113" i="10" s="1"/>
  <c r="E27" i="10"/>
  <c r="F70" i="4"/>
  <c r="C70" i="4"/>
  <c r="D70" i="4"/>
  <c r="E70" i="4"/>
  <c r="F25" i="4"/>
  <c r="G25" i="4"/>
  <c r="E25" i="4"/>
  <c r="S110" i="4"/>
  <c r="G69" i="4"/>
  <c r="D26" i="4"/>
  <c r="C27" i="4"/>
  <c r="B27" i="4"/>
  <c r="F73" i="11" l="1"/>
  <c r="C73" i="11"/>
  <c r="B30" i="11"/>
  <c r="D73" i="11"/>
  <c r="D29" i="11"/>
  <c r="E73" i="11"/>
  <c r="E117" i="11"/>
  <c r="E28" i="11"/>
  <c r="G28" i="11"/>
  <c r="F114" i="11" s="1"/>
  <c r="G114" i="11" s="1"/>
  <c r="F28" i="11"/>
  <c r="F113" i="11"/>
  <c r="G113" i="11" s="1"/>
  <c r="S113" i="11" s="1"/>
  <c r="G72" i="11"/>
  <c r="G28" i="10"/>
  <c r="F114" i="10" s="1"/>
  <c r="G114" i="10" s="1"/>
  <c r="S114" i="10" s="1"/>
  <c r="F28" i="10"/>
  <c r="E28" i="10"/>
  <c r="E116" i="10"/>
  <c r="D73" i="10"/>
  <c r="B30" i="10"/>
  <c r="E73" i="10"/>
  <c r="D29" i="10"/>
  <c r="C73" i="10"/>
  <c r="F73" i="10"/>
  <c r="E71" i="4"/>
  <c r="F71" i="4"/>
  <c r="C71" i="4"/>
  <c r="D71" i="4"/>
  <c r="G26" i="4"/>
  <c r="F112" i="4" s="1"/>
  <c r="G112" i="4" s="1"/>
  <c r="E26" i="4"/>
  <c r="F26" i="4"/>
  <c r="F111" i="4"/>
  <c r="G111" i="4" s="1"/>
  <c r="S111" i="4" s="1"/>
  <c r="G70" i="4"/>
  <c r="D27" i="4"/>
  <c r="C28" i="4"/>
  <c r="B28" i="4"/>
  <c r="F74" i="11" l="1"/>
  <c r="E74" i="11"/>
  <c r="D74" i="11"/>
  <c r="B31" i="11"/>
  <c r="D30" i="11"/>
  <c r="C74" i="11"/>
  <c r="E29" i="11"/>
  <c r="G29" i="11"/>
  <c r="F115" i="11" s="1"/>
  <c r="G115" i="11" s="1"/>
  <c r="F29" i="11"/>
  <c r="G73" i="11"/>
  <c r="S114" i="11"/>
  <c r="E118" i="11"/>
  <c r="E117" i="10"/>
  <c r="G73" i="10"/>
  <c r="E29" i="10"/>
  <c r="G29" i="10"/>
  <c r="F115" i="10" s="1"/>
  <c r="G115" i="10" s="1"/>
  <c r="F29" i="10"/>
  <c r="D74" i="10"/>
  <c r="C74" i="10"/>
  <c r="B31" i="10"/>
  <c r="F74" i="10"/>
  <c r="D30" i="10"/>
  <c r="E74" i="10"/>
  <c r="F72" i="4"/>
  <c r="C72" i="4"/>
  <c r="D72" i="4"/>
  <c r="E72" i="4"/>
  <c r="G27" i="4"/>
  <c r="E27" i="4"/>
  <c r="F27" i="4"/>
  <c r="S112" i="4"/>
  <c r="G71" i="4"/>
  <c r="D28" i="4"/>
  <c r="C29" i="4"/>
  <c r="B29" i="4"/>
  <c r="G74" i="11" l="1"/>
  <c r="E119" i="11"/>
  <c r="S115" i="11"/>
  <c r="F75" i="11"/>
  <c r="D75" i="11"/>
  <c r="B32" i="11"/>
  <c r="C75" i="11"/>
  <c r="D31" i="11"/>
  <c r="E75" i="11"/>
  <c r="E30" i="11"/>
  <c r="F30" i="11"/>
  <c r="G30" i="11"/>
  <c r="F116" i="11" s="1"/>
  <c r="G116" i="11" s="1"/>
  <c r="E30" i="10"/>
  <c r="G30" i="10"/>
  <c r="F116" i="10" s="1"/>
  <c r="G116" i="10" s="1"/>
  <c r="F30" i="10"/>
  <c r="D75" i="10"/>
  <c r="E75" i="10"/>
  <c r="B32" i="10"/>
  <c r="C75" i="10"/>
  <c r="D31" i="10"/>
  <c r="F75" i="10"/>
  <c r="S115" i="10"/>
  <c r="G74" i="10"/>
  <c r="E118" i="10"/>
  <c r="D73" i="4"/>
  <c r="E73" i="4"/>
  <c r="F73" i="4"/>
  <c r="C73" i="4"/>
  <c r="F28" i="4"/>
  <c r="E28" i="4"/>
  <c r="G28" i="4"/>
  <c r="F114" i="4" s="1"/>
  <c r="G114" i="4" s="1"/>
  <c r="F113" i="4"/>
  <c r="G113" i="4" s="1"/>
  <c r="S113" i="4" s="1"/>
  <c r="G72" i="4"/>
  <c r="D29" i="4"/>
  <c r="C30" i="4"/>
  <c r="B30" i="4"/>
  <c r="S116" i="11" l="1"/>
  <c r="S116" i="10"/>
  <c r="E31" i="11"/>
  <c r="G31" i="11"/>
  <c r="F31" i="11"/>
  <c r="G75" i="11"/>
  <c r="F76" i="11"/>
  <c r="C76" i="11"/>
  <c r="B33" i="11"/>
  <c r="D32" i="11"/>
  <c r="E76" i="11"/>
  <c r="D76" i="11"/>
  <c r="E120" i="11"/>
  <c r="D76" i="10"/>
  <c r="F76" i="10"/>
  <c r="B33" i="10"/>
  <c r="E76" i="10"/>
  <c r="C76" i="10"/>
  <c r="D32" i="10"/>
  <c r="E119" i="10"/>
  <c r="F31" i="10"/>
  <c r="E31" i="10"/>
  <c r="G31" i="10"/>
  <c r="G75" i="10"/>
  <c r="D74" i="4"/>
  <c r="E74" i="4"/>
  <c r="F74" i="4"/>
  <c r="C74" i="4"/>
  <c r="G29" i="4"/>
  <c r="E29" i="4"/>
  <c r="F29" i="4"/>
  <c r="S114" i="4"/>
  <c r="G73" i="4"/>
  <c r="D30" i="4"/>
  <c r="C31" i="4"/>
  <c r="B31" i="4"/>
  <c r="G76" i="10" l="1"/>
  <c r="F77" i="11"/>
  <c r="E77" i="11"/>
  <c r="D77" i="11"/>
  <c r="B34" i="11"/>
  <c r="D33" i="11"/>
  <c r="C77" i="11"/>
  <c r="E121" i="11"/>
  <c r="G76" i="11"/>
  <c r="E32" i="11"/>
  <c r="F32" i="11"/>
  <c r="G32" i="11"/>
  <c r="F118" i="11" s="1"/>
  <c r="G118" i="11" s="1"/>
  <c r="F117" i="11"/>
  <c r="G117" i="11" s="1"/>
  <c r="S117" i="11" s="1"/>
  <c r="E32" i="10"/>
  <c r="G32" i="10"/>
  <c r="F118" i="10" s="1"/>
  <c r="G118" i="10" s="1"/>
  <c r="F32" i="10"/>
  <c r="D77" i="10"/>
  <c r="B34" i="10"/>
  <c r="F77" i="10"/>
  <c r="C77" i="10"/>
  <c r="D33" i="10"/>
  <c r="E77" i="10"/>
  <c r="F117" i="10"/>
  <c r="G117" i="10" s="1"/>
  <c r="S117" i="10" s="1"/>
  <c r="E120" i="10"/>
  <c r="F75" i="4"/>
  <c r="C75" i="4"/>
  <c r="D75" i="4"/>
  <c r="E75" i="4"/>
  <c r="G30" i="4"/>
  <c r="F116" i="4" s="1"/>
  <c r="G116" i="4" s="1"/>
  <c r="E30" i="4"/>
  <c r="F30" i="4"/>
  <c r="F115" i="4"/>
  <c r="G115" i="4" s="1"/>
  <c r="S115" i="4" s="1"/>
  <c r="G74" i="4"/>
  <c r="C32" i="4"/>
  <c r="D31" i="4"/>
  <c r="B32" i="4"/>
  <c r="G77" i="11" l="1"/>
  <c r="S118" i="10"/>
  <c r="E33" i="11"/>
  <c r="F33" i="11"/>
  <c r="G33" i="11"/>
  <c r="S118" i="11"/>
  <c r="F78" i="11"/>
  <c r="D78" i="11"/>
  <c r="B35" i="11"/>
  <c r="C78" i="11"/>
  <c r="D34" i="11"/>
  <c r="E78" i="11"/>
  <c r="E122" i="11"/>
  <c r="D78" i="10"/>
  <c r="B35" i="10"/>
  <c r="C78" i="10"/>
  <c r="F78" i="10"/>
  <c r="E78" i="10"/>
  <c r="D34" i="10"/>
  <c r="E121" i="10"/>
  <c r="G77" i="10"/>
  <c r="F33" i="10"/>
  <c r="G33" i="10"/>
  <c r="E33" i="10"/>
  <c r="D76" i="4"/>
  <c r="E76" i="4"/>
  <c r="F76" i="4"/>
  <c r="C76" i="4"/>
  <c r="F31" i="4"/>
  <c r="G31" i="4"/>
  <c r="E31" i="4"/>
  <c r="S116" i="4"/>
  <c r="G75" i="4"/>
  <c r="C33" i="4"/>
  <c r="B33" i="4"/>
  <c r="D32" i="4"/>
  <c r="F119" i="11" l="1"/>
  <c r="G119" i="11" s="1"/>
  <c r="S119" i="11" s="1"/>
  <c r="G78" i="11"/>
  <c r="F79" i="11"/>
  <c r="C79" i="11"/>
  <c r="B36" i="11"/>
  <c r="D79" i="11"/>
  <c r="D35" i="11"/>
  <c r="E79" i="11"/>
  <c r="E34" i="11"/>
  <c r="G34" i="11"/>
  <c r="F120" i="11" s="1"/>
  <c r="G120" i="11" s="1"/>
  <c r="F34" i="11"/>
  <c r="E123" i="11"/>
  <c r="G34" i="10"/>
  <c r="F120" i="10" s="1"/>
  <c r="G120" i="10" s="1"/>
  <c r="F34" i="10"/>
  <c r="E34" i="10"/>
  <c r="F119" i="10"/>
  <c r="G119" i="10" s="1"/>
  <c r="S119" i="10" s="1"/>
  <c r="G78" i="10"/>
  <c r="D79" i="10"/>
  <c r="B36" i="10"/>
  <c r="D35" i="10"/>
  <c r="F79" i="10"/>
  <c r="E79" i="10"/>
  <c r="C79" i="10"/>
  <c r="E122" i="10"/>
  <c r="G32" i="4"/>
  <c r="F118" i="4" s="1"/>
  <c r="G118" i="4" s="1"/>
  <c r="F32" i="4"/>
  <c r="E32" i="4"/>
  <c r="E77" i="4"/>
  <c r="F77" i="4"/>
  <c r="C77" i="4"/>
  <c r="D77" i="4"/>
  <c r="F117" i="4"/>
  <c r="G117" i="4" s="1"/>
  <c r="S117" i="4" s="1"/>
  <c r="G76" i="4"/>
  <c r="C34" i="4"/>
  <c r="B34" i="4"/>
  <c r="D33" i="4"/>
  <c r="G79" i="11" l="1"/>
  <c r="G79" i="10"/>
  <c r="S120" i="10"/>
  <c r="F80" i="11"/>
  <c r="E80" i="11"/>
  <c r="D80" i="11"/>
  <c r="B37" i="11"/>
  <c r="D36" i="11"/>
  <c r="C80" i="11"/>
  <c r="S120" i="11"/>
  <c r="E124" i="11"/>
  <c r="E35" i="11"/>
  <c r="G35" i="11"/>
  <c r="F121" i="11" s="1"/>
  <c r="G121" i="11" s="1"/>
  <c r="S121" i="11" s="1"/>
  <c r="F35" i="11"/>
  <c r="G35" i="10"/>
  <c r="F35" i="10"/>
  <c r="E35" i="10"/>
  <c r="E123" i="10"/>
  <c r="D80" i="10"/>
  <c r="C80" i="10"/>
  <c r="B37" i="10"/>
  <c r="F80" i="10"/>
  <c r="E80" i="10"/>
  <c r="D36" i="10"/>
  <c r="E78" i="4"/>
  <c r="F78" i="4"/>
  <c r="C78" i="4"/>
  <c r="D78" i="4"/>
  <c r="G33" i="4"/>
  <c r="F33" i="4"/>
  <c r="E33" i="4"/>
  <c r="S118" i="4"/>
  <c r="G77" i="4"/>
  <c r="C35" i="4"/>
  <c r="B35" i="4"/>
  <c r="D34" i="4"/>
  <c r="G80" i="11" l="1"/>
  <c r="E36" i="11"/>
  <c r="F36" i="11"/>
  <c r="G36" i="11"/>
  <c r="F122" i="11" s="1"/>
  <c r="G122" i="11" s="1"/>
  <c r="S122" i="11" s="1"/>
  <c r="E125" i="11"/>
  <c r="F81" i="11"/>
  <c r="D81" i="11"/>
  <c r="B38" i="11"/>
  <c r="C81" i="11"/>
  <c r="E81" i="11"/>
  <c r="D37" i="11"/>
  <c r="D81" i="10"/>
  <c r="E81" i="10"/>
  <c r="B38" i="10"/>
  <c r="C81" i="10"/>
  <c r="D37" i="10"/>
  <c r="F81" i="10"/>
  <c r="G80" i="10"/>
  <c r="F121" i="10"/>
  <c r="G121" i="10" s="1"/>
  <c r="S121" i="10" s="1"/>
  <c r="E36" i="10"/>
  <c r="G36" i="10"/>
  <c r="F122" i="10" s="1"/>
  <c r="G122" i="10" s="1"/>
  <c r="F36" i="10"/>
  <c r="E124" i="10"/>
  <c r="F34" i="4"/>
  <c r="G34" i="4"/>
  <c r="F120" i="4" s="1"/>
  <c r="G120" i="4" s="1"/>
  <c r="E34" i="4"/>
  <c r="D79" i="4"/>
  <c r="E79" i="4"/>
  <c r="F79" i="4"/>
  <c r="C79" i="4"/>
  <c r="F119" i="4"/>
  <c r="G119" i="4" s="1"/>
  <c r="S119" i="4" s="1"/>
  <c r="G78" i="4"/>
  <c r="C36" i="4"/>
  <c r="B36" i="4"/>
  <c r="D35" i="4"/>
  <c r="E126" i="11" l="1"/>
  <c r="G81" i="11"/>
  <c r="F82" i="11"/>
  <c r="C82" i="11"/>
  <c r="B39" i="11"/>
  <c r="D82" i="11"/>
  <c r="D38" i="11"/>
  <c r="E82" i="11"/>
  <c r="E37" i="11"/>
  <c r="G37" i="11"/>
  <c r="F123" i="11" s="1"/>
  <c r="G123" i="11" s="1"/>
  <c r="F37" i="11"/>
  <c r="F37" i="10"/>
  <c r="E37" i="10"/>
  <c r="G37" i="10"/>
  <c r="F123" i="10" s="1"/>
  <c r="G123" i="10" s="1"/>
  <c r="D82" i="10"/>
  <c r="F82" i="10"/>
  <c r="B39" i="10"/>
  <c r="E82" i="10"/>
  <c r="C82" i="10"/>
  <c r="D38" i="10"/>
  <c r="G81" i="10"/>
  <c r="E125" i="10"/>
  <c r="S122" i="10"/>
  <c r="D80" i="4"/>
  <c r="E80" i="4"/>
  <c r="F80" i="4"/>
  <c r="C80" i="4"/>
  <c r="G35" i="4"/>
  <c r="E35" i="4"/>
  <c r="F35" i="4"/>
  <c r="S120" i="4"/>
  <c r="G79" i="4"/>
  <c r="C37" i="4"/>
  <c r="B37" i="4"/>
  <c r="D36" i="4"/>
  <c r="S123" i="11" l="1"/>
  <c r="S123" i="10"/>
  <c r="E38" i="11"/>
  <c r="G38" i="11"/>
  <c r="F38" i="11"/>
  <c r="F83" i="11"/>
  <c r="E83" i="11"/>
  <c r="D83" i="11"/>
  <c r="B40" i="11"/>
  <c r="D39" i="11"/>
  <c r="C83" i="11"/>
  <c r="G82" i="11"/>
  <c r="E127" i="11"/>
  <c r="G82" i="10"/>
  <c r="E126" i="10"/>
  <c r="E38" i="10"/>
  <c r="G38" i="10"/>
  <c r="F38" i="10"/>
  <c r="D83" i="10"/>
  <c r="B40" i="10"/>
  <c r="F83" i="10"/>
  <c r="E83" i="10"/>
  <c r="C83" i="10"/>
  <c r="D39" i="10"/>
  <c r="E36" i="4"/>
  <c r="G36" i="4"/>
  <c r="F122" i="4" s="1"/>
  <c r="G122" i="4" s="1"/>
  <c r="F36" i="4"/>
  <c r="F81" i="4"/>
  <c r="C81" i="4"/>
  <c r="D81" i="4"/>
  <c r="E81" i="4"/>
  <c r="F121" i="4"/>
  <c r="G121" i="4" s="1"/>
  <c r="S121" i="4" s="1"/>
  <c r="G80" i="4"/>
  <c r="C38" i="4"/>
  <c r="B38" i="4"/>
  <c r="D37" i="4"/>
  <c r="G83" i="10" l="1"/>
  <c r="F124" i="11"/>
  <c r="G124" i="11" s="1"/>
  <c r="S124" i="11" s="1"/>
  <c r="G83" i="11"/>
  <c r="E39" i="11"/>
  <c r="F39" i="11"/>
  <c r="G39" i="11"/>
  <c r="F125" i="11" s="1"/>
  <c r="G125" i="11" s="1"/>
  <c r="E128" i="11"/>
  <c r="F84" i="11"/>
  <c r="D84" i="11"/>
  <c r="C84" i="11"/>
  <c r="B41" i="11"/>
  <c r="E84" i="11"/>
  <c r="D40" i="11"/>
  <c r="F124" i="10"/>
  <c r="G124" i="10" s="1"/>
  <c r="S124" i="10" s="1"/>
  <c r="D84" i="10"/>
  <c r="B41" i="10"/>
  <c r="C84" i="10"/>
  <c r="D40" i="10"/>
  <c r="E84" i="10"/>
  <c r="F84" i="10"/>
  <c r="E127" i="10"/>
  <c r="G39" i="10"/>
  <c r="F125" i="10" s="1"/>
  <c r="G125" i="10" s="1"/>
  <c r="S125" i="10" s="1"/>
  <c r="F39" i="10"/>
  <c r="E39" i="10"/>
  <c r="F82" i="4"/>
  <c r="C82" i="4"/>
  <c r="D82" i="4"/>
  <c r="E82" i="4"/>
  <c r="F37" i="4"/>
  <c r="G37" i="4"/>
  <c r="E37" i="4"/>
  <c r="S122" i="4"/>
  <c r="G81" i="4"/>
  <c r="C39" i="4"/>
  <c r="B39" i="4"/>
  <c r="D38" i="4"/>
  <c r="S125" i="11" l="1"/>
  <c r="E129" i="11"/>
  <c r="E40" i="11"/>
  <c r="F40" i="11"/>
  <c r="G40" i="11"/>
  <c r="F126" i="11" s="1"/>
  <c r="G126" i="11" s="1"/>
  <c r="F85" i="11"/>
  <c r="C85" i="11"/>
  <c r="D41" i="11"/>
  <c r="E85" i="11"/>
  <c r="D85" i="11"/>
  <c r="B42" i="11"/>
  <c r="G84" i="11"/>
  <c r="G84" i="10"/>
  <c r="E128" i="10"/>
  <c r="D85" i="10"/>
  <c r="D41" i="10"/>
  <c r="E85" i="10"/>
  <c r="B42" i="10"/>
  <c r="F85" i="10"/>
  <c r="C85" i="10"/>
  <c r="E40" i="10"/>
  <c r="G40" i="10"/>
  <c r="F126" i="10" s="1"/>
  <c r="G126" i="10" s="1"/>
  <c r="F40" i="10"/>
  <c r="G38" i="4"/>
  <c r="F124" i="4" s="1"/>
  <c r="G124" i="4" s="1"/>
  <c r="E38" i="4"/>
  <c r="F38" i="4"/>
  <c r="E83" i="4"/>
  <c r="F83" i="4"/>
  <c r="C83" i="4"/>
  <c r="D83" i="4"/>
  <c r="F123" i="4"/>
  <c r="G123" i="4" s="1"/>
  <c r="S123" i="4" s="1"/>
  <c r="G82" i="4"/>
  <c r="C40" i="4"/>
  <c r="B40" i="4"/>
  <c r="D39" i="4"/>
  <c r="S126" i="11" l="1"/>
  <c r="G85" i="10"/>
  <c r="G85" i="11"/>
  <c r="E130" i="11"/>
  <c r="E41" i="11"/>
  <c r="G41" i="11"/>
  <c r="F41" i="11"/>
  <c r="F86" i="11"/>
  <c r="E86" i="11"/>
  <c r="D86" i="11"/>
  <c r="D42" i="11"/>
  <c r="B43" i="11"/>
  <c r="C86" i="11"/>
  <c r="D86" i="10"/>
  <c r="C86" i="10"/>
  <c r="D42" i="10"/>
  <c r="F86" i="10"/>
  <c r="E86" i="10"/>
  <c r="B43" i="10"/>
  <c r="E129" i="10"/>
  <c r="F41" i="10"/>
  <c r="G41" i="10"/>
  <c r="F127" i="10" s="1"/>
  <c r="G127" i="10" s="1"/>
  <c r="S127" i="10" s="1"/>
  <c r="E41" i="10"/>
  <c r="S126" i="10"/>
  <c r="F39" i="4"/>
  <c r="G39" i="4"/>
  <c r="E39" i="4"/>
  <c r="F84" i="4"/>
  <c r="C84" i="4"/>
  <c r="D84" i="4"/>
  <c r="E84" i="4"/>
  <c r="S124" i="4"/>
  <c r="G83" i="4"/>
  <c r="C41" i="4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B41" i="4"/>
  <c r="D40" i="4"/>
  <c r="E131" i="11" l="1"/>
  <c r="G86" i="11"/>
  <c r="F87" i="11"/>
  <c r="D87" i="11"/>
  <c r="B44" i="11"/>
  <c r="C87" i="11"/>
  <c r="D43" i="11"/>
  <c r="E87" i="11"/>
  <c r="F127" i="11"/>
  <c r="G127" i="11" s="1"/>
  <c r="S127" i="11" s="1"/>
  <c r="F42" i="11"/>
  <c r="E42" i="11"/>
  <c r="G42" i="11"/>
  <c r="F128" i="11" s="1"/>
  <c r="G128" i="11" s="1"/>
  <c r="G86" i="10"/>
  <c r="E42" i="10"/>
  <c r="F42" i="10"/>
  <c r="G42" i="10"/>
  <c r="F128" i="10" s="1"/>
  <c r="G128" i="10" s="1"/>
  <c r="E130" i="10"/>
  <c r="D87" i="10"/>
  <c r="E87" i="10"/>
  <c r="C87" i="10"/>
  <c r="D43" i="10"/>
  <c r="B44" i="10"/>
  <c r="F87" i="10"/>
  <c r="F125" i="4"/>
  <c r="G125" i="4" s="1"/>
  <c r="S125" i="4" s="1"/>
  <c r="F40" i="4"/>
  <c r="G40" i="4"/>
  <c r="F126" i="4" s="1"/>
  <c r="G126" i="4" s="1"/>
  <c r="E40" i="4"/>
  <c r="D85" i="4"/>
  <c r="E85" i="4"/>
  <c r="F85" i="4"/>
  <c r="C85" i="4"/>
  <c r="B42" i="4"/>
  <c r="G84" i="4"/>
  <c r="D41" i="4"/>
  <c r="G87" i="10" l="1"/>
  <c r="S128" i="11"/>
  <c r="F43" i="11"/>
  <c r="E43" i="11"/>
  <c r="G43" i="11"/>
  <c r="F129" i="11" s="1"/>
  <c r="G129" i="11" s="1"/>
  <c r="G87" i="11"/>
  <c r="F88" i="11"/>
  <c r="C88" i="11"/>
  <c r="D44" i="11"/>
  <c r="D88" i="11"/>
  <c r="E88" i="11"/>
  <c r="B45" i="11"/>
  <c r="E132" i="11"/>
  <c r="F43" i="10"/>
  <c r="E43" i="10"/>
  <c r="G43" i="10"/>
  <c r="F129" i="10" s="1"/>
  <c r="G129" i="10" s="1"/>
  <c r="S129" i="10" s="1"/>
  <c r="E131" i="10"/>
  <c r="D88" i="10"/>
  <c r="F88" i="10"/>
  <c r="E88" i="10"/>
  <c r="B45" i="10"/>
  <c r="D44" i="10"/>
  <c r="C88" i="10"/>
  <c r="S128" i="10"/>
  <c r="G41" i="4"/>
  <c r="F127" i="4" s="1"/>
  <c r="G127" i="4" s="1"/>
  <c r="E41" i="4"/>
  <c r="F41" i="4"/>
  <c r="D42" i="4"/>
  <c r="E86" i="4"/>
  <c r="F86" i="4"/>
  <c r="C86" i="4"/>
  <c r="D86" i="4"/>
  <c r="S126" i="4"/>
  <c r="B43" i="4"/>
  <c r="G85" i="4"/>
  <c r="D43" i="4"/>
  <c r="S129" i="11" l="1"/>
  <c r="F44" i="11"/>
  <c r="E44" i="11"/>
  <c r="G44" i="11"/>
  <c r="F89" i="11"/>
  <c r="E89" i="11"/>
  <c r="D89" i="11"/>
  <c r="D45" i="11"/>
  <c r="C89" i="11"/>
  <c r="B46" i="11"/>
  <c r="G88" i="11"/>
  <c r="E133" i="11"/>
  <c r="E132" i="10"/>
  <c r="G44" i="10"/>
  <c r="F130" i="10" s="1"/>
  <c r="G130" i="10" s="1"/>
  <c r="F44" i="10"/>
  <c r="E44" i="10"/>
  <c r="D89" i="10"/>
  <c r="B46" i="10"/>
  <c r="F89" i="10"/>
  <c r="D45" i="10"/>
  <c r="E89" i="10"/>
  <c r="C89" i="10"/>
  <c r="G89" i="10" s="1"/>
  <c r="G88" i="10"/>
  <c r="G42" i="4"/>
  <c r="E42" i="4"/>
  <c r="F42" i="4"/>
  <c r="F43" i="4"/>
  <c r="G43" i="4"/>
  <c r="F129" i="4" s="1"/>
  <c r="G129" i="4" s="1"/>
  <c r="E43" i="4"/>
  <c r="F87" i="4"/>
  <c r="C87" i="4"/>
  <c r="D87" i="4"/>
  <c r="E87" i="4"/>
  <c r="B44" i="4"/>
  <c r="B45" i="4" s="1"/>
  <c r="S127" i="4"/>
  <c r="G86" i="4"/>
  <c r="F130" i="11" l="1"/>
  <c r="G130" i="11" s="1"/>
  <c r="G89" i="11"/>
  <c r="F90" i="11"/>
  <c r="D90" i="11"/>
  <c r="B47" i="11"/>
  <c r="C90" i="11"/>
  <c r="E90" i="11"/>
  <c r="D46" i="11"/>
  <c r="E134" i="11"/>
  <c r="F45" i="11"/>
  <c r="E45" i="11"/>
  <c r="G45" i="11"/>
  <c r="F131" i="11" s="1"/>
  <c r="G131" i="11" s="1"/>
  <c r="S130" i="11"/>
  <c r="D90" i="10"/>
  <c r="B47" i="10"/>
  <c r="F90" i="10"/>
  <c r="E90" i="10"/>
  <c r="C90" i="10"/>
  <c r="D46" i="10"/>
  <c r="E133" i="10"/>
  <c r="G45" i="10"/>
  <c r="F131" i="10" s="1"/>
  <c r="G131" i="10" s="1"/>
  <c r="S131" i="10" s="1"/>
  <c r="F45" i="10"/>
  <c r="E45" i="10"/>
  <c r="S130" i="10"/>
  <c r="D44" i="4"/>
  <c r="G87" i="4"/>
  <c r="E89" i="4"/>
  <c r="F89" i="4"/>
  <c r="C89" i="4"/>
  <c r="D89" i="4"/>
  <c r="G44" i="4"/>
  <c r="F44" i="4"/>
  <c r="E44" i="4"/>
  <c r="F130" i="4"/>
  <c r="G130" i="4" s="1"/>
  <c r="D88" i="4"/>
  <c r="E88" i="4"/>
  <c r="F88" i="4"/>
  <c r="C88" i="4"/>
  <c r="F128" i="4"/>
  <c r="G128" i="4" s="1"/>
  <c r="S128" i="4" s="1"/>
  <c r="S129" i="4"/>
  <c r="B46" i="4"/>
  <c r="D45" i="4"/>
  <c r="E135" i="11" l="1"/>
  <c r="F91" i="11"/>
  <c r="C91" i="11"/>
  <c r="B48" i="11"/>
  <c r="D47" i="11"/>
  <c r="D91" i="11"/>
  <c r="E91" i="11"/>
  <c r="F46" i="11"/>
  <c r="E46" i="11"/>
  <c r="G46" i="11"/>
  <c r="F132" i="11" s="1"/>
  <c r="G132" i="11" s="1"/>
  <c r="S131" i="11"/>
  <c r="G90" i="11"/>
  <c r="D91" i="10"/>
  <c r="D47" i="10"/>
  <c r="E91" i="10"/>
  <c r="C91" i="10"/>
  <c r="F91" i="10"/>
  <c r="B48" i="10"/>
  <c r="E134" i="10"/>
  <c r="G46" i="10"/>
  <c r="F132" i="10" s="1"/>
  <c r="G132" i="10" s="1"/>
  <c r="F46" i="10"/>
  <c r="E46" i="10"/>
  <c r="G90" i="10"/>
  <c r="G88" i="4"/>
  <c r="S130" i="4" s="1"/>
  <c r="G45" i="4"/>
  <c r="F45" i="4"/>
  <c r="E45" i="4"/>
  <c r="E90" i="4"/>
  <c r="F90" i="4"/>
  <c r="C90" i="4"/>
  <c r="D90" i="4"/>
  <c r="G89" i="4"/>
  <c r="B47" i="4"/>
  <c r="D46" i="4"/>
  <c r="G91" i="11" l="1"/>
  <c r="G91" i="10"/>
  <c r="F92" i="11"/>
  <c r="E92" i="11"/>
  <c r="D92" i="11"/>
  <c r="D48" i="11"/>
  <c r="C92" i="11"/>
  <c r="B49" i="11"/>
  <c r="S132" i="11"/>
  <c r="E136" i="11"/>
  <c r="F47" i="11"/>
  <c r="E47" i="11"/>
  <c r="G47" i="11"/>
  <c r="F133" i="11" s="1"/>
  <c r="G133" i="11" s="1"/>
  <c r="S133" i="11" s="1"/>
  <c r="D92" i="10"/>
  <c r="C92" i="10"/>
  <c r="D48" i="10"/>
  <c r="F92" i="10"/>
  <c r="B49" i="10"/>
  <c r="E92" i="10"/>
  <c r="F47" i="10"/>
  <c r="E47" i="10"/>
  <c r="G47" i="10"/>
  <c r="F133" i="10" s="1"/>
  <c r="G133" i="10" s="1"/>
  <c r="S133" i="10" s="1"/>
  <c r="S132" i="10"/>
  <c r="E135" i="10"/>
  <c r="D91" i="4"/>
  <c r="E91" i="4"/>
  <c r="F91" i="4"/>
  <c r="C91" i="4"/>
  <c r="F46" i="4"/>
  <c r="G46" i="4"/>
  <c r="F132" i="4" s="1"/>
  <c r="G132" i="4" s="1"/>
  <c r="E46" i="4"/>
  <c r="F131" i="4"/>
  <c r="G131" i="4" s="1"/>
  <c r="S131" i="4" s="1"/>
  <c r="G90" i="4"/>
  <c r="B48" i="4"/>
  <c r="D47" i="4"/>
  <c r="G92" i="11" l="1"/>
  <c r="F93" i="11"/>
  <c r="D93" i="11"/>
  <c r="B50" i="11"/>
  <c r="C93" i="11"/>
  <c r="E93" i="11"/>
  <c r="D49" i="11"/>
  <c r="F48" i="11"/>
  <c r="E48" i="11"/>
  <c r="G48" i="11"/>
  <c r="F134" i="11" s="1"/>
  <c r="G134" i="11" s="1"/>
  <c r="S134" i="11" s="1"/>
  <c r="D93" i="10"/>
  <c r="E93" i="10"/>
  <c r="C93" i="10"/>
  <c r="D49" i="10"/>
  <c r="F93" i="10"/>
  <c r="B50" i="10"/>
  <c r="E48" i="10"/>
  <c r="G48" i="10"/>
  <c r="F134" i="10" s="1"/>
  <c r="G134" i="10" s="1"/>
  <c r="F48" i="10"/>
  <c r="G92" i="10"/>
  <c r="E136" i="10"/>
  <c r="E47" i="4"/>
  <c r="G47" i="4"/>
  <c r="F47" i="4"/>
  <c r="D92" i="4"/>
  <c r="E92" i="4"/>
  <c r="F92" i="4"/>
  <c r="C92" i="4"/>
  <c r="S132" i="4"/>
  <c r="G91" i="4"/>
  <c r="B49" i="4"/>
  <c r="D48" i="4"/>
  <c r="G93" i="11" l="1"/>
  <c r="F49" i="11"/>
  <c r="E49" i="11"/>
  <c r="G49" i="11"/>
  <c r="F135" i="11" s="1"/>
  <c r="G135" i="11" s="1"/>
  <c r="S135" i="11" s="1"/>
  <c r="F94" i="11"/>
  <c r="C94" i="11"/>
  <c r="G94" i="11" s="1"/>
  <c r="D50" i="11"/>
  <c r="E94" i="11"/>
  <c r="D94" i="11"/>
  <c r="B51" i="11"/>
  <c r="D51" i="11" s="1"/>
  <c r="D94" i="10"/>
  <c r="F94" i="10"/>
  <c r="E94" i="10"/>
  <c r="C94" i="10"/>
  <c r="B51" i="10"/>
  <c r="D51" i="10" s="1"/>
  <c r="D50" i="10"/>
  <c r="S134" i="10"/>
  <c r="F49" i="10"/>
  <c r="E49" i="10"/>
  <c r="G49" i="10"/>
  <c r="G93" i="10"/>
  <c r="F93" i="4"/>
  <c r="C93" i="4"/>
  <c r="D93" i="4"/>
  <c r="E93" i="4"/>
  <c r="F133" i="4"/>
  <c r="G133" i="4" s="1"/>
  <c r="S133" i="4" s="1"/>
  <c r="E48" i="4"/>
  <c r="G48" i="4"/>
  <c r="F134" i="4" s="1"/>
  <c r="G134" i="4" s="1"/>
  <c r="F48" i="4"/>
  <c r="G92" i="4"/>
  <c r="B50" i="4"/>
  <c r="D49" i="4"/>
  <c r="G94" i="10" l="1"/>
  <c r="F51" i="11"/>
  <c r="E51" i="11"/>
  <c r="G51" i="11"/>
  <c r="F50" i="11"/>
  <c r="E50" i="11"/>
  <c r="G50" i="11"/>
  <c r="G50" i="10"/>
  <c r="F136" i="10" s="1"/>
  <c r="G136" i="10" s="1"/>
  <c r="S136" i="10" s="1"/>
  <c r="F50" i="10"/>
  <c r="E50" i="10"/>
  <c r="G51" i="10"/>
  <c r="F51" i="10"/>
  <c r="E51" i="10"/>
  <c r="F135" i="10"/>
  <c r="G135" i="10" s="1"/>
  <c r="S135" i="10" s="1"/>
  <c r="F49" i="4"/>
  <c r="G49" i="4"/>
  <c r="F135" i="4" s="1"/>
  <c r="G135" i="4" s="1"/>
  <c r="E49" i="4"/>
  <c r="F94" i="4"/>
  <c r="C94" i="4"/>
  <c r="D94" i="4"/>
  <c r="E94" i="4"/>
  <c r="S134" i="4"/>
  <c r="G93" i="4"/>
  <c r="B51" i="4"/>
  <c r="D51" i="4" s="1"/>
  <c r="D50" i="4"/>
  <c r="F136" i="11" l="1"/>
  <c r="G136" i="11" s="1"/>
  <c r="S136" i="11" s="1"/>
  <c r="H171" i="11" s="1"/>
  <c r="D171" i="11" a="1"/>
  <c r="D171" i="11" s="1"/>
  <c r="H171" i="10"/>
  <c r="D171" i="10" a="1"/>
  <c r="D171" i="10" s="1"/>
  <c r="G51" i="4"/>
  <c r="F51" i="4"/>
  <c r="E51" i="4"/>
  <c r="G50" i="4"/>
  <c r="F136" i="4" s="1"/>
  <c r="G136" i="4" s="1"/>
  <c r="E50" i="4"/>
  <c r="F50" i="4"/>
  <c r="S135" i="4"/>
  <c r="G94" i="4"/>
  <c r="L171" i="11" l="1"/>
  <c r="J171" i="11"/>
  <c r="N171" i="11"/>
  <c r="L171" i="10"/>
  <c r="N171" i="10"/>
  <c r="J171" i="10"/>
  <c r="D171" i="4" a="1"/>
  <c r="D171" i="4" s="1"/>
  <c r="S136" i="4"/>
  <c r="H171" i="4" s="1"/>
  <c r="N171" i="4" l="1"/>
  <c r="L171" i="4"/>
  <c r="J17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<sst xmlns="http://schemas.openxmlformats.org/spreadsheetml/2006/main" count="226" uniqueCount="77">
  <si>
    <t>EQUIPO</t>
  </si>
  <si>
    <t>REPUESTO</t>
  </si>
  <si>
    <t>AVIDESA MAC POLLO S.A.</t>
  </si>
  <si>
    <t>PROBABILIDAD DE EXACTAMENTE K FALLAS</t>
  </si>
  <si>
    <t>PROBABILIDAD DE K O MENOS FALLAS</t>
  </si>
  <si>
    <t>VALORES INDIVIDUALES</t>
  </si>
  <si>
    <t>VALORES ACUMULADOS</t>
  </si>
  <si>
    <t xml:space="preserve">n </t>
  </si>
  <si>
    <t>k</t>
  </si>
  <si>
    <t>n-k</t>
  </si>
  <si>
    <t>NUMERO DE COMPONENTES EN FUNCIONAMIENTO</t>
  </si>
  <si>
    <t>NUMERO DE COMPONENTES QUE FALLAN</t>
  </si>
  <si>
    <t>NUMERO DE COMPONENTES QUE NO FALLAN</t>
  </si>
  <si>
    <t>NIVEL DE CONFIANZA DESEADO PARA ATENDER LA FALLA</t>
  </si>
  <si>
    <t>NC [%]</t>
  </si>
  <si>
    <t>TIEMPO DE FUNCIONAMINETO EN EL PERIODO DE INTERES [meses]</t>
  </si>
  <si>
    <t>TASA DE FALLAS [fallas/hora]</t>
  </si>
  <si>
    <t>Poisson individual [%]</t>
  </si>
  <si>
    <t>Poisson acumulado [%]</t>
  </si>
  <si>
    <t>PRODUCTO [nλt]</t>
  </si>
  <si>
    <t>CÁLCULO DE LA PROBABILIDAD DE CONTAR CON EL REPUESTO CUANDO SE REQUIERA</t>
  </si>
  <si>
    <t>PLANTA</t>
  </si>
  <si>
    <t>CODIGO SAP</t>
  </si>
  <si>
    <t>GRUPO PLANIFICACIÓN</t>
  </si>
  <si>
    <t>GESTIÓN DE INVENTARIOS PARA REPUESTOS 3X-3Y-3Z MODELO DE OPTIMIZACIÓN CONFIABILIDAD-RIESGO</t>
  </si>
  <si>
    <t>FECHA DE CREACIÓN</t>
  </si>
  <si>
    <t>FECHA DE ACTUALIZACIÓN</t>
  </si>
  <si>
    <t>VERSIÓN</t>
  </si>
  <si>
    <t>CALCULO DEL COSTO TOTAL DE INVENTARIO SEGÚN EL NUMERO DE REPUESTOS A ALMACENAR</t>
  </si>
  <si>
    <t>COSTO DEL REPUESTO</t>
  </si>
  <si>
    <t>% COSTO ALMACENAMIENTO (6-10)%</t>
  </si>
  <si>
    <t>% IMPUESTOS                                 (10-20)%</t>
  </si>
  <si>
    <t>% DEPRECIACIÓN (3-10)%</t>
  </si>
  <si>
    <t>% OBSOLECENCIA      (2-5)%</t>
  </si>
  <si>
    <t>% COSTO TRANSPORTE               (15-30)%</t>
  </si>
  <si>
    <t>COSTO DE COMPRA REPUESTOS</t>
  </si>
  <si>
    <t>COSTO DE ALMACENAMIENTO</t>
  </si>
  <si>
    <t>CANTIDAD DE REPUESTOS</t>
  </si>
  <si>
    <t>COSTO DE TRANSPORTE</t>
  </si>
  <si>
    <t>COSTOS DE IMPUESTOS Y OBSOLECENCIA</t>
  </si>
  <si>
    <t>COSTO TOTAL DE INVENTARIO</t>
  </si>
  <si>
    <t>PROBABILIDAD DE NO PODER ATENDER LAS FALLAS EN EL PERIODO DE ANALISIS</t>
  </si>
  <si>
    <t>PRECIO PRODUCTO TERMINADO</t>
  </si>
  <si>
    <t>DISMINUCIÓN DE PRODUCCIÓN [unidades/hora]</t>
  </si>
  <si>
    <t>TIEMPO FUERA DE SERVICIO [horas]</t>
  </si>
  <si>
    <t>TIEMPO DE ANALISIS [horas]</t>
  </si>
  <si>
    <t>NUMERO DE FALLAS ESPERADO</t>
  </si>
  <si>
    <t>HORAS DE RETRASO [horas]</t>
  </si>
  <si>
    <t xml:space="preserve">COSTO DE PENALIZACIÓN </t>
  </si>
  <si>
    <t>COSTO DE MATERIALES PARA LA REPARACIÓN</t>
  </si>
  <si>
    <t>COSTO DE MANO DE OBRA PARA LA REPARACIÓN</t>
  </si>
  <si>
    <t>COSTO DE LOGISTICA PARA LA REPARACIÓN</t>
  </si>
  <si>
    <t>COSTO DE LIMPIEZA Y REMEDIACIÓN</t>
  </si>
  <si>
    <t>COSTO DE POSIBLE CONTAMINACIÓN</t>
  </si>
  <si>
    <t>CALCULO DEL RIESGO TOTAL SEGÚN EL NUMERO DE REPUESTOS A ALMACENAR</t>
  </si>
  <si>
    <t>RIESGOS ECONOMICOS POR ÁREA EN CASO DE PRESENTARSE FALLA DE LA PIEZA ANALIZADA</t>
  </si>
  <si>
    <t>CALCULO DEL RIESGO POR PRODUCCIÓN</t>
  </si>
  <si>
    <t>RIESGO TOTAL</t>
  </si>
  <si>
    <t>RIESGO POR PRODUCCIÓN</t>
  </si>
  <si>
    <t>CALCULO DEL RIESGO POR REPARACIONES</t>
  </si>
  <si>
    <t>RIESGO POR REPARACIONES</t>
  </si>
  <si>
    <t>CALCULO DEL RIESGO AMBIENTAL</t>
  </si>
  <si>
    <t>RIESGO AMBIENTAL</t>
  </si>
  <si>
    <t>RIESGO POR SEGUIRDAD Y SALUD EN EL TRABAJO</t>
  </si>
  <si>
    <t>IMPACTO TOTAL= COSTO TOTAL DE INVENTARIO+RIESGO TOTAL POR AUSENCIA DEL REPUESTO</t>
  </si>
  <si>
    <t>NUMERO DE REPUESTOS OPTIMOS A ALMACENAR</t>
  </si>
  <si>
    <t>NIVEL DE CONFIANZA OPTIMO [%]</t>
  </si>
  <si>
    <t>NIVEL DE CONFIANZA DESEADO [%]</t>
  </si>
  <si>
    <t>NUMERO DE REPUESTOS  A ALMACENAR CON EL NIVEL DE CONFIANZA DESEADO</t>
  </si>
  <si>
    <t>COSTO OPTIMO DE INVENTARIO</t>
  </si>
  <si>
    <t>RIESGO POR AUSENCIA DEL REPUESTO OPTIMO</t>
  </si>
  <si>
    <t>6210666 CORREA CARRO AUT GALAXY</t>
  </si>
  <si>
    <t>6210670 CORREA DENTADA CARRO GALAXY</t>
  </si>
  <si>
    <t>ARRANQUE COMPLETO YOYO GX-163</t>
  </si>
  <si>
    <t>MATERIAL</t>
  </si>
  <si>
    <t>TEXTO BREVE</t>
  </si>
  <si>
    <t>ARRANQUE COMPLETO YOYO GX-160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</si>
</sst>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0.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indexed="8"/>
      <name val="Arial Narrow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165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9" fontId="2" fillId="3" borderId="1" xfId="2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0" xfId="0" applyNumberFormat="1"/>
    <xf numFmtId="0" fontId="0" fillId="0" borderId="13" xfId="0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2" fillId="3" borderId="14" xfId="2" applyFont="1" applyFill="1" applyBorder="1" applyAlignment="1">
      <alignment horizontal="center" vertical="center"/>
    </xf>
    <xf numFmtId="164" fontId="0" fillId="0" borderId="6" xfId="0" applyNumberFormat="1" applyBorder="1"/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/>
    <xf numFmtId="164" fontId="0" fillId="0" borderId="2" xfId="0" applyNumberFormat="1" applyBorder="1"/>
    <xf numFmtId="0" fontId="0" fillId="4" borderId="18" xfId="0" applyFill="1" applyBorder="1"/>
    <xf numFmtId="0" fontId="0" fillId="0" borderId="18" xfId="0" applyBorder="1"/>
    <xf numFmtId="0" fontId="0" fillId="4" borderId="19" xfId="0" applyFill="1" applyBorder="1"/>
    <xf numFmtId="0" fontId="7" fillId="4" borderId="20" xfId="0" applyFont="1" applyFill="1" applyBorder="1"/>
    <xf numFmtId="0" fontId="7" fillId="0" borderId="20" xfId="0" applyFont="1" applyBorder="1"/>
    <xf numFmtId="0" fontId="7" fillId="4" borderId="21" xfId="0" applyFont="1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1" applyNumberFormat="1" applyFont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44" fontId="2" fillId="0" borderId="1" xfId="1" applyFont="1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64" fontId="6" fillId="0" borderId="14" xfId="1" applyNumberFormat="1" applyFont="1" applyBorder="1" applyAlignment="1">
      <alignment horizontal="center" vertical="center"/>
    </xf>
    <xf numFmtId="164" fontId="6" fillId="0" borderId="17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 wrapText="1"/>
    </xf>
    <xf numFmtId="164" fontId="6" fillId="0" borderId="16" xfId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66">
    <dxf>
      <numFmt numFmtId="164" formatCode="_-&quot;$&quot;\ * #,##0_-;\-&quot;$&quot;\ * #,##0_-;_-&quot;$&quot;\ * &quot;-&quot;??_-;_-@_-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164" formatCode="_-&quot;$&quot;\ * #,##0_-;\-&quot;$&quot;\ * #,##0_-;_-&quot;$&quot;\ * &quot;-&quot;??_-;_-@_-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_-&quot;$&quot;\ * #,##0_-;\-&quot;$&quot;\ * #,##0_-;_-&quot;$&quot;\ * &quot;-&quot;??_-;_-@_-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164" formatCode="_-&quot;$&quot;\ * #,##0_-;\-&quot;$&quot;\ * #,##0_-;_-&quot;$&quot;\ * &quot;-&quot;??_-;_-@_-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_-&quot;$&quot;\ * #,##0_-;\-&quot;$&quot;\ * #,##0_-;_-&quot;$&quot;\ * &quot;-&quot;??_-;_-@_-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164" formatCode="_-&quot;$&quot;\ * #,##0_-;\-&quot;$&quot;\ * #,##0_-;_-&quot;$&quot;\ * &quot;-&quot;??_-;_-@_-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PROBABILIDAD</a:t>
            </a:r>
            <a:r>
              <a:rPr lang="en-US" sz="2000" baseline="0"/>
              <a:t> INDIVIDUAL DE CONTAR CON EL REPUESTO CUANDO SE REQUIERA</a:t>
            </a:r>
            <a:endParaRPr lang="en-US" sz="2000"/>
          </a:p>
        </c:rich>
      </c:tx>
      <c:layout>
        <c:manualLayout>
          <c:xMode val="edge"/>
          <c:yMode val="edge"/>
          <c:x val="0.15220872862549645"/>
          <c:y val="2.03332363237055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49221537495275"/>
          <c:y val="0.16234350320654412"/>
          <c:w val="0.8546254478231492"/>
          <c:h val="0.6629940545384827"/>
        </c:manualLayout>
      </c:layout>
      <c:lineChart>
        <c:grouping val="standard"/>
        <c:varyColors val="0"/>
        <c:ser>
          <c:idx val="1"/>
          <c:order val="0"/>
          <c:tx>
            <c:v>Distribución de Poisson individual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val>
            <c:numRef>
              <c:f>'1'!$F$11:$F$51</c:f>
              <c:numCache>
                <c:formatCode>General</c:formatCode>
                <c:ptCount val="41"/>
                <c:pt idx="0">
                  <c:v>2.6548022929476578</c:v>
                </c:pt>
                <c:pt idx="1">
                  <c:v>9.6337465606484596</c:v>
                </c:pt>
                <c:pt idx="2">
                  <c:v>17.479469759640576</c:v>
                </c:pt>
                <c:pt idx="3">
                  <c:v>21.14316662126123</c:v>
                </c:pt>
                <c:pt idx="4">
                  <c:v>19.181080758808193</c:v>
                </c:pt>
                <c:pt idx="5">
                  <c:v>13.920861171512636</c:v>
                </c:pt>
                <c:pt idx="6">
                  <c:v>8.4193368365308405</c:v>
                </c:pt>
                <c:pt idx="7">
                  <c:v>4.3645842160575885</c:v>
                </c:pt>
                <c:pt idx="8">
                  <c:v>1.9797754004037236</c:v>
                </c:pt>
                <c:pt idx="9">
                  <c:v>0.79824544144278076</c:v>
                </c:pt>
                <c:pt idx="10">
                  <c:v>0.289667305790756</c:v>
                </c:pt>
                <c:pt idx="11">
                  <c:v>9.5558610841226896E-2</c:v>
                </c:pt>
                <c:pt idx="12">
                  <c:v>2.8896923918387028E-2</c:v>
                </c:pt>
                <c:pt idx="13">
                  <c:v>8.0662428857725225E-3</c:v>
                </c:pt>
                <c:pt idx="14">
                  <c:v>2.0907701559922383E-3</c:v>
                </c:pt>
                <c:pt idx="15">
                  <c:v>5.0579911613764272E-4</c:v>
                </c:pt>
                <c:pt idx="16">
                  <c:v>1.1471523954001744E-4</c:v>
                </c:pt>
                <c:pt idx="17">
                  <c:v>2.448698007310677E-5</c:v>
                </c:pt>
                <c:pt idx="18">
                  <c:v>4.9365751827383123E-6</c:v>
                </c:pt>
                <c:pt idx="19">
                  <c:v>9.4283389595372736E-7</c:v>
                </c:pt>
                <c:pt idx="20">
                  <c:v>1.7106778208184526E-7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A1-4687-BC00-ED869A023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845760"/>
        <c:axId val="642844448"/>
      </c:lineChart>
      <c:catAx>
        <c:axId val="642845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numero de repuestos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4417543091261924"/>
              <c:y val="0.87535111959965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4448"/>
        <c:crosses val="autoZero"/>
        <c:auto val="1"/>
        <c:lblAlgn val="ctr"/>
        <c:lblOffset val="100"/>
        <c:noMultiLvlLbl val="0"/>
      </c:catAx>
      <c:valAx>
        <c:axId val="6428444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nivel de confianza [%]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8823532899218693E-2"/>
              <c:y val="0.33351191145108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576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3565340169585952"/>
          <c:y val="0.93001700855455915"/>
          <c:w val="0.59758862391637313"/>
          <c:h val="6.99829914454408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 baseline="0"/>
              <a:t>RIESGO TOTAL VS NUMERO DE REPUESTOS EN INVENTARIO</a:t>
            </a:r>
            <a:endParaRPr lang="en-US" sz="2000" b="1"/>
          </a:p>
        </c:rich>
      </c:tx>
      <c:layout>
        <c:manualLayout>
          <c:xMode val="edge"/>
          <c:yMode val="edge"/>
          <c:x val="0.19041331447644519"/>
          <c:y val="1.29292945746338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Impacto 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'2'!$E$97:$E$136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'2'!$G$97:$G$136</c:f>
              <c:numCache>
                <c:formatCode>_-"$"\ * #,##0_-;\-"$"\ * #,##0_-;_-"$"\ * "-"??_-;_-@_-</c:formatCode>
                <c:ptCount val="40"/>
                <c:pt idx="0">
                  <c:v>9561527.636546867</c:v>
                </c:pt>
                <c:pt idx="1">
                  <c:v>5581347.2569045583</c:v>
                </c:pt>
                <c:pt idx="2">
                  <c:v>2486358.9936946919</c:v>
                </c:pt>
                <c:pt idx="3">
                  <c:v>881917.0780467015</c:v>
                </c:pt>
                <c:pt idx="4">
                  <c:v>258110.06124276159</c:v>
                </c:pt>
                <c:pt idx="5">
                  <c:v>64081.126736064187</c:v>
                </c:pt>
                <c:pt idx="6">
                  <c:v>13788.826911928058</c:v>
                </c:pt>
                <c:pt idx="7">
                  <c:v>2615.3148138574788</c:v>
                </c:pt>
                <c:pt idx="8">
                  <c:v>443.18406199341018</c:v>
                </c:pt>
                <c:pt idx="9">
                  <c:v>67.839868068909709</c:v>
                </c:pt>
                <c:pt idx="10">
                  <c:v>9.466339030975746</c:v>
                </c:pt>
                <c:pt idx="11">
                  <c:v>1.2133833618831886</c:v>
                </c:pt>
                <c:pt idx="12">
                  <c:v>0.14380030808376887</c:v>
                </c:pt>
                <c:pt idx="13">
                  <c:v>1.5845263596474979E-2</c:v>
                </c:pt>
                <c:pt idx="14">
                  <c:v>1.6312851996644897E-3</c:v>
                </c:pt>
                <c:pt idx="15">
                  <c:v>1.5758182439640223E-4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1C-4B18-99B5-313E320C1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2351456"/>
        <c:axId val="762353424"/>
      </c:barChart>
      <c:catAx>
        <c:axId val="762351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 EN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353424"/>
        <c:crosses val="autoZero"/>
        <c:auto val="1"/>
        <c:lblAlgn val="ctr"/>
        <c:lblOffset val="100"/>
        <c:noMultiLvlLbl val="0"/>
      </c:catAx>
      <c:valAx>
        <c:axId val="7623534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RIESGO TOTAL DE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35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IMPACTO</a:t>
            </a:r>
            <a:r>
              <a:rPr lang="en-US" sz="2000" b="1" baseline="0"/>
              <a:t> TOTAL VS NUMERO DE REPUESTOS</a:t>
            </a:r>
            <a:endParaRPr lang="en-US" sz="2000" b="1"/>
          </a:p>
        </c:rich>
      </c:tx>
      <c:layout>
        <c:manualLayout>
          <c:xMode val="edge"/>
          <c:yMode val="edge"/>
          <c:x val="0.18683181768607715"/>
          <c:y val="1.22920422568467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Impacto 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'2'!$S$97:$S$136</c:f>
              <c:numCache>
                <c:formatCode>_-"$"\ * #,##0_-;\-"$"\ * #,##0_-;_-"$"\ * "-"??_-;_-@_-</c:formatCode>
                <c:ptCount val="40"/>
                <c:pt idx="0">
                  <c:v>10179193.396546867</c:v>
                </c:pt>
                <c:pt idx="1">
                  <c:v>6816678.7769045588</c:v>
                </c:pt>
                <c:pt idx="2">
                  <c:v>4339356.2736946922</c:v>
                </c:pt>
                <c:pt idx="3">
                  <c:v>3352580.1180467014</c:v>
                </c:pt>
                <c:pt idx="4">
                  <c:v>3346438.8612427614</c:v>
                </c:pt>
                <c:pt idx="5">
                  <c:v>3770075.6867360636</c:v>
                </c:pt>
                <c:pt idx="6">
                  <c:v>4337449.1469119284</c:v>
                </c:pt>
                <c:pt idx="7">
                  <c:v>4943941.394813858</c:v>
                </c:pt>
                <c:pt idx="8">
                  <c:v>5559435.0240619928</c:v>
                </c:pt>
                <c:pt idx="9">
                  <c:v>6176725.4398680683</c:v>
                </c:pt>
                <c:pt idx="10">
                  <c:v>6794332.8263390306</c:v>
                </c:pt>
                <c:pt idx="11">
                  <c:v>7411990.3333833609</c:v>
                </c:pt>
                <c:pt idx="12">
                  <c:v>8029655.0238003088</c:v>
                </c:pt>
                <c:pt idx="13">
                  <c:v>8647320.655845264</c:v>
                </c:pt>
                <c:pt idx="14">
                  <c:v>9264986.4016312864</c:v>
                </c:pt>
                <c:pt idx="15">
                  <c:v>9882652.1601575818</c:v>
                </c:pt>
                <c:pt idx="16">
                  <c:v>10500317.920000002</c:v>
                </c:pt>
                <c:pt idx="17">
                  <c:v>11117983.679999998</c:v>
                </c:pt>
                <c:pt idx="18">
                  <c:v>11735649.439999999</c:v>
                </c:pt>
                <c:pt idx="19">
                  <c:v>12353315.199999999</c:v>
                </c:pt>
                <c:pt idx="20">
                  <c:v>12970980.960000001</c:v>
                </c:pt>
                <c:pt idx="21">
                  <c:v>13588646.719999999</c:v>
                </c:pt>
                <c:pt idx="22">
                  <c:v>14206312.479999999</c:v>
                </c:pt>
                <c:pt idx="23">
                  <c:v>14823978.239999998</c:v>
                </c:pt>
                <c:pt idx="24">
                  <c:v>15441644</c:v>
                </c:pt>
                <c:pt idx="25">
                  <c:v>16059309.760000002</c:v>
                </c:pt>
                <c:pt idx="26">
                  <c:v>16676975.52</c:v>
                </c:pt>
                <c:pt idx="27">
                  <c:v>17294641.280000001</c:v>
                </c:pt>
                <c:pt idx="28">
                  <c:v>17912307.039999999</c:v>
                </c:pt>
                <c:pt idx="29">
                  <c:v>18529972.800000001</c:v>
                </c:pt>
                <c:pt idx="30">
                  <c:v>19147638.559999999</c:v>
                </c:pt>
                <c:pt idx="31">
                  <c:v>19765304.32</c:v>
                </c:pt>
                <c:pt idx="32">
                  <c:v>20382970.079999998</c:v>
                </c:pt>
                <c:pt idx="33">
                  <c:v>21000635.840000004</c:v>
                </c:pt>
                <c:pt idx="34">
                  <c:v>21618301.600000001</c:v>
                </c:pt>
                <c:pt idx="35">
                  <c:v>22235967.359999996</c:v>
                </c:pt>
                <c:pt idx="36">
                  <c:v>22853633.120000001</c:v>
                </c:pt>
                <c:pt idx="37">
                  <c:v>23471298.879999999</c:v>
                </c:pt>
                <c:pt idx="38">
                  <c:v>24088964.640000001</c:v>
                </c:pt>
                <c:pt idx="39">
                  <c:v>24706630.399999999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85-4B5E-A985-9F1F3C154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390784"/>
        <c:axId val="665383568"/>
      </c:barChart>
      <c:catAx>
        <c:axId val="665390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5751322638065983"/>
              <c:y val="0.954424921780053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383568"/>
        <c:crosses val="autoZero"/>
        <c:auto val="1"/>
        <c:lblAlgn val="ctr"/>
        <c:lblOffset val="100"/>
        <c:noMultiLvlLbl val="0"/>
      </c:catAx>
      <c:valAx>
        <c:axId val="6653835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Impacto</a:t>
                </a:r>
                <a:r>
                  <a:rPr lang="es-CO" b="1" baseline="0"/>
                  <a:t> total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39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000" b="1"/>
              <a:t>IMPACTO</a:t>
            </a:r>
            <a:r>
              <a:rPr lang="es-CO" sz="2000" b="1" baseline="0"/>
              <a:t> TOTAL VS NUMERO DE REPUESTOS MAT 77239 </a:t>
            </a:r>
            <a:endParaRPr lang="es-CO" sz="2000" b="1"/>
          </a:p>
        </c:rich>
      </c:tx>
      <c:layout>
        <c:manualLayout>
          <c:xMode val="edge"/>
          <c:yMode val="edge"/>
          <c:x val="0.23372879863982399"/>
          <c:y val="1.8604575774414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total de inventario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'2'!$G$55:$G$94</c:f>
              <c:numCache>
                <c:formatCode>_-"$"\ * #,##0_-;\-"$"\ * #,##0_-;_-"$"\ * "-"??_-;_-@_-</c:formatCode>
                <c:ptCount val="40"/>
                <c:pt idx="0">
                  <c:v>617665.76</c:v>
                </c:pt>
                <c:pt idx="1">
                  <c:v>1235331.52</c:v>
                </c:pt>
                <c:pt idx="2">
                  <c:v>1852997.2799999998</c:v>
                </c:pt>
                <c:pt idx="3">
                  <c:v>2470663.04</c:v>
                </c:pt>
                <c:pt idx="4">
                  <c:v>3088328.8</c:v>
                </c:pt>
                <c:pt idx="5">
                  <c:v>3705994.5599999996</c:v>
                </c:pt>
                <c:pt idx="6">
                  <c:v>4323660.32</c:v>
                </c:pt>
                <c:pt idx="7">
                  <c:v>4941326.08</c:v>
                </c:pt>
                <c:pt idx="8">
                  <c:v>5558991.8399999989</c:v>
                </c:pt>
                <c:pt idx="9">
                  <c:v>6176657.5999999996</c:v>
                </c:pt>
                <c:pt idx="10">
                  <c:v>6794323.3599999994</c:v>
                </c:pt>
                <c:pt idx="11">
                  <c:v>7411989.1199999992</c:v>
                </c:pt>
                <c:pt idx="12">
                  <c:v>8029654.8800000008</c:v>
                </c:pt>
                <c:pt idx="13">
                  <c:v>8647320.6400000006</c:v>
                </c:pt>
                <c:pt idx="14">
                  <c:v>9264986.4000000004</c:v>
                </c:pt>
                <c:pt idx="15">
                  <c:v>9882652.1600000001</c:v>
                </c:pt>
                <c:pt idx="16">
                  <c:v>10500317.920000002</c:v>
                </c:pt>
                <c:pt idx="17">
                  <c:v>11117983.679999998</c:v>
                </c:pt>
                <c:pt idx="18">
                  <c:v>11735649.439999999</c:v>
                </c:pt>
                <c:pt idx="19">
                  <c:v>12353315.199999999</c:v>
                </c:pt>
                <c:pt idx="20">
                  <c:v>12970980.960000001</c:v>
                </c:pt>
                <c:pt idx="21">
                  <c:v>13588646.719999999</c:v>
                </c:pt>
                <c:pt idx="22">
                  <c:v>14206312.479999999</c:v>
                </c:pt>
                <c:pt idx="23">
                  <c:v>14823978.239999998</c:v>
                </c:pt>
                <c:pt idx="24">
                  <c:v>15441644</c:v>
                </c:pt>
                <c:pt idx="25">
                  <c:v>16059309.760000002</c:v>
                </c:pt>
                <c:pt idx="26">
                  <c:v>16676975.52</c:v>
                </c:pt>
                <c:pt idx="27">
                  <c:v>17294641.280000001</c:v>
                </c:pt>
                <c:pt idx="28">
                  <c:v>17912307.039999999</c:v>
                </c:pt>
                <c:pt idx="29">
                  <c:v>18529972.800000001</c:v>
                </c:pt>
                <c:pt idx="30">
                  <c:v>19147638.559999999</c:v>
                </c:pt>
                <c:pt idx="31">
                  <c:v>19765304.32</c:v>
                </c:pt>
                <c:pt idx="32">
                  <c:v>20382970.079999998</c:v>
                </c:pt>
                <c:pt idx="33">
                  <c:v>21000635.840000004</c:v>
                </c:pt>
                <c:pt idx="34">
                  <c:v>21618301.600000001</c:v>
                </c:pt>
                <c:pt idx="35">
                  <c:v>22235967.359999996</c:v>
                </c:pt>
                <c:pt idx="36">
                  <c:v>22853633.120000001</c:v>
                </c:pt>
                <c:pt idx="37">
                  <c:v>23471298.879999999</c:v>
                </c:pt>
                <c:pt idx="38">
                  <c:v>24088964.640000001</c:v>
                </c:pt>
                <c:pt idx="39">
                  <c:v>24706630.399999999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D8-4A13-90D0-6E9F064D5BE4}"/>
            </c:ext>
          </c:extLst>
        </c:ser>
        <c:ser>
          <c:idx val="1"/>
          <c:order val="1"/>
          <c:tx>
            <c:v>Riesgo total de inventario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'2'!$G$97:$G$136</c:f>
              <c:numCache>
                <c:formatCode>_-"$"\ * #,##0_-;\-"$"\ * #,##0_-;_-"$"\ * "-"??_-;_-@_-</c:formatCode>
                <c:ptCount val="40"/>
                <c:pt idx="0">
                  <c:v>9561527.636546867</c:v>
                </c:pt>
                <c:pt idx="1">
                  <c:v>5581347.2569045583</c:v>
                </c:pt>
                <c:pt idx="2">
                  <c:v>2486358.9936946919</c:v>
                </c:pt>
                <c:pt idx="3">
                  <c:v>881917.0780467015</c:v>
                </c:pt>
                <c:pt idx="4">
                  <c:v>258110.06124276159</c:v>
                </c:pt>
                <c:pt idx="5">
                  <c:v>64081.126736064187</c:v>
                </c:pt>
                <c:pt idx="6">
                  <c:v>13788.826911928058</c:v>
                </c:pt>
                <c:pt idx="7">
                  <c:v>2615.3148138574788</c:v>
                </c:pt>
                <c:pt idx="8">
                  <c:v>443.18406199341018</c:v>
                </c:pt>
                <c:pt idx="9">
                  <c:v>67.839868068909709</c:v>
                </c:pt>
                <c:pt idx="10">
                  <c:v>9.466339030975746</c:v>
                </c:pt>
                <c:pt idx="11">
                  <c:v>1.2133833618831886</c:v>
                </c:pt>
                <c:pt idx="12">
                  <c:v>0.14380030808376887</c:v>
                </c:pt>
                <c:pt idx="13">
                  <c:v>1.5845263596474979E-2</c:v>
                </c:pt>
                <c:pt idx="14">
                  <c:v>1.6312851996644897E-3</c:v>
                </c:pt>
                <c:pt idx="15">
                  <c:v>1.5758182439640223E-4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D8-4A13-90D0-6E9F064D5BE4}"/>
            </c:ext>
          </c:extLst>
        </c:ser>
        <c:ser>
          <c:idx val="2"/>
          <c:order val="2"/>
          <c:tx>
            <c:v>Impacto total de inventario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'2'!$S$97:$S$136</c:f>
              <c:numCache>
                <c:formatCode>_-"$"\ * #,##0_-;\-"$"\ * #,##0_-;_-"$"\ * "-"??_-;_-@_-</c:formatCode>
                <c:ptCount val="40"/>
                <c:pt idx="0">
                  <c:v>10179193.396546867</c:v>
                </c:pt>
                <c:pt idx="1">
                  <c:v>6816678.7769045588</c:v>
                </c:pt>
                <c:pt idx="2">
                  <c:v>4339356.2736946922</c:v>
                </c:pt>
                <c:pt idx="3">
                  <c:v>3352580.1180467014</c:v>
                </c:pt>
                <c:pt idx="4">
                  <c:v>3346438.8612427614</c:v>
                </c:pt>
                <c:pt idx="5">
                  <c:v>3770075.6867360636</c:v>
                </c:pt>
                <c:pt idx="6">
                  <c:v>4337449.1469119284</c:v>
                </c:pt>
                <c:pt idx="7">
                  <c:v>4943941.394813858</c:v>
                </c:pt>
                <c:pt idx="8">
                  <c:v>5559435.0240619928</c:v>
                </c:pt>
                <c:pt idx="9">
                  <c:v>6176725.4398680683</c:v>
                </c:pt>
                <c:pt idx="10">
                  <c:v>6794332.8263390306</c:v>
                </c:pt>
                <c:pt idx="11">
                  <c:v>7411990.3333833609</c:v>
                </c:pt>
                <c:pt idx="12">
                  <c:v>8029655.0238003088</c:v>
                </c:pt>
                <c:pt idx="13">
                  <c:v>8647320.655845264</c:v>
                </c:pt>
                <c:pt idx="14">
                  <c:v>9264986.4016312864</c:v>
                </c:pt>
                <c:pt idx="15">
                  <c:v>9882652.1601575818</c:v>
                </c:pt>
                <c:pt idx="16">
                  <c:v>10500317.920000002</c:v>
                </c:pt>
                <c:pt idx="17">
                  <c:v>11117983.679999998</c:v>
                </c:pt>
                <c:pt idx="18">
                  <c:v>11735649.439999999</c:v>
                </c:pt>
                <c:pt idx="19">
                  <c:v>12353315.199999999</c:v>
                </c:pt>
                <c:pt idx="20">
                  <c:v>12970980.960000001</c:v>
                </c:pt>
                <c:pt idx="21">
                  <c:v>13588646.719999999</c:v>
                </c:pt>
                <c:pt idx="22">
                  <c:v>14206312.479999999</c:v>
                </c:pt>
                <c:pt idx="23">
                  <c:v>14823978.239999998</c:v>
                </c:pt>
                <c:pt idx="24">
                  <c:v>15441644</c:v>
                </c:pt>
                <c:pt idx="25">
                  <c:v>16059309.760000002</c:v>
                </c:pt>
                <c:pt idx="26">
                  <c:v>16676975.52</c:v>
                </c:pt>
                <c:pt idx="27">
                  <c:v>17294641.280000001</c:v>
                </c:pt>
                <c:pt idx="28">
                  <c:v>17912307.039999999</c:v>
                </c:pt>
                <c:pt idx="29">
                  <c:v>18529972.800000001</c:v>
                </c:pt>
                <c:pt idx="30">
                  <c:v>19147638.559999999</c:v>
                </c:pt>
                <c:pt idx="31">
                  <c:v>19765304.32</c:v>
                </c:pt>
                <c:pt idx="32">
                  <c:v>20382970.079999998</c:v>
                </c:pt>
                <c:pt idx="33">
                  <c:v>21000635.840000004</c:v>
                </c:pt>
                <c:pt idx="34">
                  <c:v>21618301.600000001</c:v>
                </c:pt>
                <c:pt idx="35">
                  <c:v>22235967.359999996</c:v>
                </c:pt>
                <c:pt idx="36">
                  <c:v>22853633.120000001</c:v>
                </c:pt>
                <c:pt idx="37">
                  <c:v>23471298.879999999</c:v>
                </c:pt>
                <c:pt idx="38">
                  <c:v>24088964.640000001</c:v>
                </c:pt>
                <c:pt idx="39">
                  <c:v>24706630.399999999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D8-4A13-90D0-6E9F064D5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152056"/>
        <c:axId val="336152384"/>
      </c:lineChart>
      <c:catAx>
        <c:axId val="336152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152384"/>
        <c:crosses val="autoZero"/>
        <c:auto val="1"/>
        <c:lblAlgn val="ctr"/>
        <c:lblOffset val="100"/>
        <c:noMultiLvlLbl val="0"/>
      </c:catAx>
      <c:valAx>
        <c:axId val="336152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Impacto</a:t>
                </a:r>
                <a:r>
                  <a:rPr lang="es-CO" b="1" baseline="0"/>
                  <a:t> toal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15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PROBABILIDAD</a:t>
            </a:r>
            <a:r>
              <a:rPr lang="en-US" sz="2000" baseline="0"/>
              <a:t> INDIVIDUAL DE CONTAR CON EL REPUESTO CUANDO SE REQUIERA</a:t>
            </a:r>
            <a:endParaRPr lang="en-US" sz="2000"/>
          </a:p>
        </c:rich>
      </c:tx>
      <c:layout>
        <c:manualLayout>
          <c:xMode val="edge"/>
          <c:yMode val="edge"/>
          <c:x val="0.15220872862549645"/>
          <c:y val="2.03332363237055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49221537495275"/>
          <c:y val="0.16234350320654412"/>
          <c:w val="0.8546254478231492"/>
          <c:h val="0.6629940545384827"/>
        </c:manualLayout>
      </c:layout>
      <c:lineChart>
        <c:grouping val="standard"/>
        <c:varyColors val="0"/>
        <c:ser>
          <c:idx val="1"/>
          <c:order val="0"/>
          <c:tx>
            <c:v>Distribución de Poisson individual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val>
            <c:numRef>
              <c:f>'3'!$F$11:$F$51</c:f>
              <c:numCache>
                <c:formatCode>General</c:formatCode>
                <c:ptCount val="41"/>
                <c:pt idx="0">
                  <c:v>6.2988695827490639</c:v>
                </c:pt>
                <c:pt idx="1">
                  <c:v>17.41511462238461</c:v>
                </c:pt>
                <c:pt idx="2">
                  <c:v>24.074654453984493</c:v>
                </c:pt>
                <c:pt idx="3">
                  <c:v>22.18720154479211</c:v>
                </c:pt>
                <c:pt idx="4">
                  <c:v>15.335793707760306</c:v>
                </c:pt>
                <c:pt idx="5">
                  <c:v>8.4800804886431358</c:v>
                </c:pt>
                <c:pt idx="6">
                  <c:v>3.9076210891667564</c:v>
                </c:pt>
                <c:pt idx="7">
                  <c:v>1.5433986839040368</c:v>
                </c:pt>
                <c:pt idx="8">
                  <c:v>0.53339858515723504</c:v>
                </c:pt>
                <c:pt idx="9">
                  <c:v>0.16386004536030252</c:v>
                </c:pt>
                <c:pt idx="10">
                  <c:v>4.5304025341216442E-2</c:v>
                </c:pt>
                <c:pt idx="11">
                  <c:v>1.1386960842126821E-2</c:v>
                </c:pt>
                <c:pt idx="12">
                  <c:v>2.6235557780260182E-3</c:v>
                </c:pt>
                <c:pt idx="13">
                  <c:v>5.5796977039125725E-4</c:v>
                </c:pt>
                <c:pt idx="14">
                  <c:v>1.1019105865555344E-4</c:v>
                </c:pt>
                <c:pt idx="15">
                  <c:v>2.0310415931391644E-5</c:v>
                </c:pt>
                <c:pt idx="16">
                  <c:v>3.5096398729444816E-6</c:v>
                </c:pt>
                <c:pt idx="17">
                  <c:v>5.7079131298334833E-7</c:v>
                </c:pt>
                <c:pt idx="18">
                  <c:v>8.7673545674241997E-8</c:v>
                </c:pt>
                <c:pt idx="19">
                  <c:v>1.2757885214744399E-8</c:v>
                </c:pt>
                <c:pt idx="20">
                  <c:v>1.7636500520862647E-9</c:v>
                </c:pt>
                <c:pt idx="21">
                  <c:v>2.3219712685752976E-10</c:v>
                </c:pt>
                <c:pt idx="22">
                  <c:v>2.9180846197077048E-11</c:v>
                </c:pt>
                <c:pt idx="23">
                  <c:v>3.5077914593773499E-12</c:v>
                </c:pt>
                <c:pt idx="24">
                  <c:v>4.0409757612026718E-13</c:v>
                </c:pt>
                <c:pt idx="25">
                  <c:v>4.4689959138292553E-14</c:v>
                </c:pt>
                <c:pt idx="26">
                  <c:v>4.7522615009827749E-15</c:v>
                </c:pt>
                <c:pt idx="27">
                  <c:v>4.8663157770063582E-16</c:v>
                </c:pt>
                <c:pt idx="28">
                  <c:v>4.8051392358096928E-17</c:v>
                </c:pt>
                <c:pt idx="29">
                  <c:v>4.5811203307470865E-18</c:v>
                </c:pt>
                <c:pt idx="30">
                  <c:v>4.2219604968165702E-19</c:v>
                </c:pt>
                <c:pt idx="31">
                  <c:v>3.76544399406398E-20</c:v>
                </c:pt>
                <c:pt idx="32">
                  <c:v>3.2533436108713065E-21</c:v>
                </c:pt>
                <c:pt idx="33">
                  <c:v>2.7257104288899939E-22</c:v>
                </c:pt>
                <c:pt idx="34">
                  <c:v>2.2164835864103138E-23</c:v>
                </c:pt>
                <c:pt idx="35">
                  <c:v>1.7508953770592203E-24</c:v>
                </c:pt>
                <c:pt idx="36">
                  <c:v>1.344687649581484E-25</c:v>
                </c:pt>
                <c:pt idx="37">
                  <c:v>1.0048087604223945E-26</c:v>
                </c:pt>
                <c:pt idx="38">
                  <c:v>7.3107770021470003E-28</c:v>
                </c:pt>
                <c:pt idx="39">
                  <c:v>5.1827785270605533E-29</c:v>
                </c:pt>
                <c:pt idx="40">
                  <c:v>3.582336517904207E-30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51-4DDA-871C-6E643486C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845760"/>
        <c:axId val="642844448"/>
      </c:lineChart>
      <c:catAx>
        <c:axId val="642845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numero de repuestos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4417543091261924"/>
              <c:y val="0.87535111959965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4448"/>
        <c:crosses val="autoZero"/>
        <c:auto val="1"/>
        <c:lblAlgn val="ctr"/>
        <c:lblOffset val="100"/>
        <c:noMultiLvlLbl val="0"/>
      </c:catAx>
      <c:valAx>
        <c:axId val="6428444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nivel de confianza [%]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8823532899218693E-2"/>
              <c:y val="0.33351191145108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576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3565340169585952"/>
          <c:y val="0.93001700855455915"/>
          <c:w val="0.59758862391637313"/>
          <c:h val="6.99829914454408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aseline="0"/>
              <a:t>NIVEL DE CONFIANZA VS PROBABILIDAD total DE contar con el repuesto cuando se requiera</a:t>
            </a:r>
            <a:endParaRPr lang="en-US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10351868245179"/>
          <c:y val="0.15757425055394805"/>
          <c:w val="0.8546254478231492"/>
          <c:h val="0.70021330439349949"/>
        </c:manualLayout>
      </c:layout>
      <c:lineChart>
        <c:grouping val="standard"/>
        <c:varyColors val="0"/>
        <c:ser>
          <c:idx val="1"/>
          <c:order val="0"/>
          <c:tx>
            <c:v>Distribución de Poisson</c:v>
          </c:tx>
          <c:spPr>
            <a:ln w="31750" cap="sq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val>
            <c:numRef>
              <c:f>'3'!$G$11:$G$51</c:f>
              <c:numCache>
                <c:formatCode>General</c:formatCode>
                <c:ptCount val="41"/>
                <c:pt idx="0">
                  <c:v>6.2988695827490639</c:v>
                </c:pt>
                <c:pt idx="1">
                  <c:v>23.713984205133677</c:v>
                </c:pt>
                <c:pt idx="2">
                  <c:v>47.788638659118163</c:v>
                </c:pt>
                <c:pt idx="3">
                  <c:v>69.97584020391028</c:v>
                </c:pt>
                <c:pt idx="4">
                  <c:v>85.311633911670583</c:v>
                </c:pt>
                <c:pt idx="5">
                  <c:v>93.791714400313722</c:v>
                </c:pt>
                <c:pt idx="6">
                  <c:v>97.699335489480461</c:v>
                </c:pt>
                <c:pt idx="7">
                  <c:v>99.242734173384505</c:v>
                </c:pt>
                <c:pt idx="8">
                  <c:v>99.776132758541735</c:v>
                </c:pt>
                <c:pt idx="9">
                  <c:v>99.939992803902044</c:v>
                </c:pt>
                <c:pt idx="10">
                  <c:v>99.985296829243268</c:v>
                </c:pt>
                <c:pt idx="11">
                  <c:v>99.996683790085399</c:v>
                </c:pt>
                <c:pt idx="12">
                  <c:v>99.999307345863414</c:v>
                </c:pt>
                <c:pt idx="13">
                  <c:v>99.999865315633812</c:v>
                </c:pt>
                <c:pt idx="14">
                  <c:v>99.999975506692465</c:v>
                </c:pt>
                <c:pt idx="15">
                  <c:v>99.999995817108385</c:v>
                </c:pt>
                <c:pt idx="16">
                  <c:v>99.999999326748267</c:v>
                </c:pt>
                <c:pt idx="17">
                  <c:v>99.999999897539581</c:v>
                </c:pt>
                <c:pt idx="18">
                  <c:v>99.999999985213122</c:v>
                </c:pt>
                <c:pt idx="19">
                  <c:v>99.999999997971017</c:v>
                </c:pt>
                <c:pt idx="20">
                  <c:v>99.999999999734655</c:v>
                </c:pt>
                <c:pt idx="21">
                  <c:v>99.99999999996686</c:v>
                </c:pt>
                <c:pt idx="22">
                  <c:v>99.999999999996035</c:v>
                </c:pt>
                <c:pt idx="23">
                  <c:v>99.999999999999545</c:v>
                </c:pt>
                <c:pt idx="24">
                  <c:v>99.999999999999957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EB-4561-8FF9-81A641DEEEA0}"/>
            </c:ext>
          </c:extLst>
        </c:ser>
        <c:ser>
          <c:idx val="2"/>
          <c:order val="1"/>
          <c:tx>
            <c:v>Nivel de confianza</c:v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'3'!$E$11:$E$51</c:f>
              <c:numCache>
                <c:formatCode>General</c:formatCode>
                <c:ptCount val="41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95</c:v>
                </c:pt>
                <c:pt idx="21">
                  <c:v>95</c:v>
                </c:pt>
                <c:pt idx="22">
                  <c:v>95</c:v>
                </c:pt>
                <c:pt idx="23">
                  <c:v>95</c:v>
                </c:pt>
                <c:pt idx="24">
                  <c:v>95</c:v>
                </c:pt>
                <c:pt idx="25">
                  <c:v>95</c:v>
                </c:pt>
                <c:pt idx="26">
                  <c:v>95</c:v>
                </c:pt>
                <c:pt idx="27">
                  <c:v>95</c:v>
                </c:pt>
                <c:pt idx="28">
                  <c:v>95</c:v>
                </c:pt>
                <c:pt idx="29">
                  <c:v>95</c:v>
                </c:pt>
                <c:pt idx="30">
                  <c:v>95</c:v>
                </c:pt>
                <c:pt idx="31">
                  <c:v>95</c:v>
                </c:pt>
                <c:pt idx="32">
                  <c:v>95</c:v>
                </c:pt>
                <c:pt idx="33">
                  <c:v>95</c:v>
                </c:pt>
                <c:pt idx="34">
                  <c:v>95</c:v>
                </c:pt>
                <c:pt idx="35">
                  <c:v>95</c:v>
                </c:pt>
                <c:pt idx="36">
                  <c:v>95</c:v>
                </c:pt>
                <c:pt idx="37">
                  <c:v>95</c:v>
                </c:pt>
                <c:pt idx="38">
                  <c:v>95</c:v>
                </c:pt>
                <c:pt idx="39">
                  <c:v>95</c:v>
                </c:pt>
                <c:pt idx="40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EB-4561-8FF9-81A641DEEE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845760"/>
        <c:axId val="642844448"/>
      </c:lineChart>
      <c:catAx>
        <c:axId val="642845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numero de repuestos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4448"/>
        <c:crosses val="autoZero"/>
        <c:auto val="1"/>
        <c:lblAlgn val="ctr"/>
        <c:lblOffset val="100"/>
        <c:noMultiLvlLbl val="0"/>
      </c:catAx>
      <c:valAx>
        <c:axId val="6428444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nivel de confianza [%]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8823532899218693E-2"/>
              <c:y val="0.33351191145108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5760"/>
        <c:crosses val="autoZero"/>
        <c:crossBetween val="between"/>
      </c:valAx>
      <c:spPr>
        <a:solidFill>
          <a:schemeClr val="bg1"/>
        </a:solidFill>
        <a:ln w="1587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4035928492066419"/>
          <c:y val="0.93001703255576829"/>
          <c:w val="0.49093775099036718"/>
          <c:h val="5.2872441417313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COSTO</a:t>
            </a:r>
            <a:r>
              <a:rPr lang="en-US" sz="2000" b="1" baseline="0"/>
              <a:t> TOTAL DE INVENTARIO VS NUMERO DE REPUESTOS</a:t>
            </a:r>
            <a:endParaRPr lang="en-US" sz="2000" b="1"/>
          </a:p>
        </c:rich>
      </c:tx>
      <c:layout>
        <c:manualLayout>
          <c:xMode val="edge"/>
          <c:yMode val="edge"/>
          <c:x val="0.125434863325011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Costo total de inventario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'3'!$B$55:$B$94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'3'!$G$55:$G$94</c:f>
              <c:numCache>
                <c:formatCode>_-"$"\ * #,##0_-;\-"$"\ * #,##0_-;_-"$"\ * "-"??_-;_-@_-</c:formatCode>
                <c:ptCount val="40"/>
                <c:pt idx="0">
                  <c:v>157490.71999999997</c:v>
                </c:pt>
                <c:pt idx="1">
                  <c:v>314981.43999999994</c:v>
                </c:pt>
                <c:pt idx="2">
                  <c:v>472472.16000000003</c:v>
                </c:pt>
                <c:pt idx="3">
                  <c:v>629962.87999999989</c:v>
                </c:pt>
                <c:pt idx="4">
                  <c:v>787453.6</c:v>
                </c:pt>
                <c:pt idx="5">
                  <c:v>944944.32000000007</c:v>
                </c:pt>
                <c:pt idx="6">
                  <c:v>1102435.04</c:v>
                </c:pt>
                <c:pt idx="7">
                  <c:v>1259925.7599999998</c:v>
                </c:pt>
                <c:pt idx="8">
                  <c:v>1417416.48</c:v>
                </c:pt>
                <c:pt idx="9">
                  <c:v>1574907.2</c:v>
                </c:pt>
                <c:pt idx="10">
                  <c:v>1732397.9200000002</c:v>
                </c:pt>
                <c:pt idx="11">
                  <c:v>1889888.6400000001</c:v>
                </c:pt>
                <c:pt idx="12">
                  <c:v>2047379.3599999999</c:v>
                </c:pt>
                <c:pt idx="13">
                  <c:v>2204870.08</c:v>
                </c:pt>
                <c:pt idx="14">
                  <c:v>2362360.7999999998</c:v>
                </c:pt>
                <c:pt idx="15">
                  <c:v>2519851.5199999996</c:v>
                </c:pt>
                <c:pt idx="16">
                  <c:v>2677342.2400000002</c:v>
                </c:pt>
                <c:pt idx="17">
                  <c:v>2834832.96</c:v>
                </c:pt>
                <c:pt idx="18">
                  <c:v>2992323.68</c:v>
                </c:pt>
                <c:pt idx="19">
                  <c:v>3149814.4</c:v>
                </c:pt>
                <c:pt idx="20">
                  <c:v>3307305.1199999996</c:v>
                </c:pt>
                <c:pt idx="21">
                  <c:v>3464795.8400000003</c:v>
                </c:pt>
                <c:pt idx="22">
                  <c:v>3622286.5599999996</c:v>
                </c:pt>
                <c:pt idx="23">
                  <c:v>3779777.2800000003</c:v>
                </c:pt>
                <c:pt idx="24">
                  <c:v>3937268</c:v>
                </c:pt>
                <c:pt idx="25">
                  <c:v>4094758.7199999997</c:v>
                </c:pt>
                <c:pt idx="26">
                  <c:v>4252249.4400000004</c:v>
                </c:pt>
                <c:pt idx="27">
                  <c:v>4409740.16</c:v>
                </c:pt>
                <c:pt idx="28">
                  <c:v>4567230.88</c:v>
                </c:pt>
                <c:pt idx="29">
                  <c:v>4724721.5999999996</c:v>
                </c:pt>
                <c:pt idx="30">
                  <c:v>4882212.32</c:v>
                </c:pt>
                <c:pt idx="31">
                  <c:v>5039703.0399999991</c:v>
                </c:pt>
                <c:pt idx="32">
                  <c:v>5197193.7600000007</c:v>
                </c:pt>
                <c:pt idx="33">
                  <c:v>5354684.4800000004</c:v>
                </c:pt>
                <c:pt idx="34">
                  <c:v>5512175.2000000002</c:v>
                </c:pt>
                <c:pt idx="35">
                  <c:v>5669665.9199999999</c:v>
                </c:pt>
                <c:pt idx="36">
                  <c:v>5827156.6399999997</c:v>
                </c:pt>
                <c:pt idx="37">
                  <c:v>5984647.3600000003</c:v>
                </c:pt>
                <c:pt idx="38">
                  <c:v>6142138.0800000001</c:v>
                </c:pt>
                <c:pt idx="39">
                  <c:v>6299628.7999999998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A2-45EA-8C87-1ED2107FD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3446024"/>
        <c:axId val="803441432"/>
      </c:barChart>
      <c:catAx>
        <c:axId val="803446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 EN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441432"/>
        <c:crosses val="autoZero"/>
        <c:auto val="1"/>
        <c:lblAlgn val="ctr"/>
        <c:lblOffset val="100"/>
        <c:noMultiLvlLbl val="0"/>
      </c:catAx>
      <c:valAx>
        <c:axId val="803441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</a:t>
                </a:r>
                <a:r>
                  <a:rPr lang="es-CO" b="1" baseline="0"/>
                  <a:t> TOTAL DE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446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 baseline="0"/>
              <a:t>RIESGO TOTAL VS NUMERO DE REPUESTOS EN INVENTARIO</a:t>
            </a:r>
            <a:endParaRPr lang="en-US" sz="2000" b="1"/>
          </a:p>
        </c:rich>
      </c:tx>
      <c:layout>
        <c:manualLayout>
          <c:xMode val="edge"/>
          <c:yMode val="edge"/>
          <c:x val="0.19041331447644519"/>
          <c:y val="1.29292945746338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Impacto 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'3'!$E$97:$E$136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'3'!$G$97:$G$136</c:f>
              <c:numCache>
                <c:formatCode>_-"$"\ * #,##0_-;\-"$"\ * #,##0_-;_-"$"\ * "-"??_-;_-@_-</c:formatCode>
                <c:ptCount val="40"/>
                <c:pt idx="0">
                  <c:v>42654628.588540971</c:v>
                </c:pt>
                <c:pt idx="1">
                  <c:v>34726920.11013905</c:v>
                </c:pt>
                <c:pt idx="2">
                  <c:v>23767655.909596227</c:v>
                </c:pt>
                <c:pt idx="3">
                  <c:v>13667598.022375964</c:v>
                </c:pt>
                <c:pt idx="4">
                  <c:v>6686438.0107293166</c:v>
                </c:pt>
                <c:pt idx="5">
                  <c:v>2826135.7706891876</c:v>
                </c:pt>
                <c:pt idx="6">
                  <c:v>1047308.4984787045</c:v>
                </c:pt>
                <c:pt idx="7">
                  <c:v>344722.54959190544</c:v>
                </c:pt>
                <c:pt idx="8">
                  <c:v>101908.84565663147</c:v>
                </c:pt>
                <c:pt idx="9">
                  <c:v>27316.475807711638</c:v>
                </c:pt>
                <c:pt idx="10">
                  <c:v>6693.1773918796407</c:v>
                </c:pt>
                <c:pt idx="11">
                  <c:v>1509.6050773247268</c:v>
                </c:pt>
                <c:pt idx="12">
                  <c:v>315.31001605654325</c:v>
                </c:pt>
                <c:pt idx="13">
                  <c:v>61.311017176009557</c:v>
                </c:pt>
                <c:pt idx="14">
                  <c:v>11.149843456113333</c:v>
                </c:pt>
                <c:pt idx="15">
                  <c:v>1.9041359211172446</c:v>
                </c:pt>
                <c:pt idx="16">
                  <c:v>0.30647765411202954</c:v>
                </c:pt>
                <c:pt idx="17">
                  <c:v>4.6642031853423305E-2</c:v>
                </c:pt>
                <c:pt idx="18">
                  <c:v>6.731282375653791E-3</c:v>
                </c:pt>
                <c:pt idx="19">
                  <c:v>9.2363373397574833E-4</c:v>
                </c:pt>
                <c:pt idx="20">
                  <c:v>1.2079038697265787E-4</c:v>
                </c:pt>
                <c:pt idx="21">
                  <c:v>1.5085860241015325E-5</c:v>
                </c:pt>
                <c:pt idx="22">
                  <c:v>1.8048692140837375E-6</c:v>
                </c:pt>
                <c:pt idx="23">
                  <c:v>2.070100890705362E-7</c:v>
                </c:pt>
                <c:pt idx="24">
                  <c:v>1.9407195850362768E-8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3-46F1-B570-AF4A898EBA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2351456"/>
        <c:axId val="762353424"/>
      </c:barChart>
      <c:catAx>
        <c:axId val="762351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 EN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353424"/>
        <c:crosses val="autoZero"/>
        <c:auto val="1"/>
        <c:lblAlgn val="ctr"/>
        <c:lblOffset val="100"/>
        <c:noMultiLvlLbl val="0"/>
      </c:catAx>
      <c:valAx>
        <c:axId val="7623534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RIESGO TOTAL DE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35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IMPACTO</a:t>
            </a:r>
            <a:r>
              <a:rPr lang="en-US" sz="2000" b="1" baseline="0"/>
              <a:t> TOTAL VS NUMERO DE REPUESTOS</a:t>
            </a:r>
            <a:endParaRPr lang="en-US" sz="2000" b="1"/>
          </a:p>
        </c:rich>
      </c:tx>
      <c:layout>
        <c:manualLayout>
          <c:xMode val="edge"/>
          <c:yMode val="edge"/>
          <c:x val="0.18683181768607715"/>
          <c:y val="1.22920422568467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Impacto 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'3'!$S$97:$S$136</c:f>
              <c:numCache>
                <c:formatCode>_-"$"\ * #,##0_-;\-"$"\ * #,##0_-;_-"$"\ * "-"??_-;_-@_-</c:formatCode>
                <c:ptCount val="40"/>
                <c:pt idx="0">
                  <c:v>42812119.30854097</c:v>
                </c:pt>
                <c:pt idx="1">
                  <c:v>35041901.550139047</c:v>
                </c:pt>
                <c:pt idx="2">
                  <c:v>24240128.069596227</c:v>
                </c:pt>
                <c:pt idx="3">
                  <c:v>14297560.902375963</c:v>
                </c:pt>
                <c:pt idx="4">
                  <c:v>7473891.6107293162</c:v>
                </c:pt>
                <c:pt idx="5">
                  <c:v>3771080.0906891879</c:v>
                </c:pt>
                <c:pt idx="6">
                  <c:v>2149743.5384787046</c:v>
                </c:pt>
                <c:pt idx="7">
                  <c:v>1604648.3095919052</c:v>
                </c:pt>
                <c:pt idx="8">
                  <c:v>1519325.3256566315</c:v>
                </c:pt>
                <c:pt idx="9">
                  <c:v>1602223.6758077117</c:v>
                </c:pt>
                <c:pt idx="10">
                  <c:v>1739091.0973918799</c:v>
                </c:pt>
                <c:pt idx="11">
                  <c:v>1891398.2450773248</c:v>
                </c:pt>
                <c:pt idx="12">
                  <c:v>2047694.6700160564</c:v>
                </c:pt>
                <c:pt idx="13">
                  <c:v>2204931.3910171762</c:v>
                </c:pt>
                <c:pt idx="14">
                  <c:v>2362371.949843456</c:v>
                </c:pt>
                <c:pt idx="15">
                  <c:v>2519853.4241359206</c:v>
                </c:pt>
                <c:pt idx="16">
                  <c:v>2677342.5464776545</c:v>
                </c:pt>
                <c:pt idx="17">
                  <c:v>2834833.0066420319</c:v>
                </c:pt>
                <c:pt idx="18">
                  <c:v>2992323.6867312826</c:v>
                </c:pt>
                <c:pt idx="19">
                  <c:v>3149814.4009236335</c:v>
                </c:pt>
                <c:pt idx="20">
                  <c:v>3307305.1201207899</c:v>
                </c:pt>
                <c:pt idx="21">
                  <c:v>3464795.8400150863</c:v>
                </c:pt>
                <c:pt idx="22">
                  <c:v>3622286.5600018045</c:v>
                </c:pt>
                <c:pt idx="23">
                  <c:v>3779777.2800002075</c:v>
                </c:pt>
                <c:pt idx="24">
                  <c:v>3937268.0000000196</c:v>
                </c:pt>
                <c:pt idx="25">
                  <c:v>4094758.7199999997</c:v>
                </c:pt>
                <c:pt idx="26">
                  <c:v>4252249.4400000004</c:v>
                </c:pt>
                <c:pt idx="27">
                  <c:v>4409740.16</c:v>
                </c:pt>
                <c:pt idx="28">
                  <c:v>4567230.88</c:v>
                </c:pt>
                <c:pt idx="29">
                  <c:v>4724721.5999999996</c:v>
                </c:pt>
                <c:pt idx="30">
                  <c:v>4882212.32</c:v>
                </c:pt>
                <c:pt idx="31">
                  <c:v>5039703.0399999991</c:v>
                </c:pt>
                <c:pt idx="32">
                  <c:v>5197193.7600000007</c:v>
                </c:pt>
                <c:pt idx="33">
                  <c:v>5354684.4800000004</c:v>
                </c:pt>
                <c:pt idx="34">
                  <c:v>5512175.2000000002</c:v>
                </c:pt>
                <c:pt idx="35">
                  <c:v>5669665.9199999999</c:v>
                </c:pt>
                <c:pt idx="36">
                  <c:v>5827156.6399999997</c:v>
                </c:pt>
                <c:pt idx="37">
                  <c:v>5984647.3600000003</c:v>
                </c:pt>
                <c:pt idx="38">
                  <c:v>6142138.0800000001</c:v>
                </c:pt>
                <c:pt idx="39">
                  <c:v>6299628.7999999998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5A-4A23-886F-7AFFA8EDD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390784"/>
        <c:axId val="665383568"/>
      </c:barChart>
      <c:catAx>
        <c:axId val="665390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5751322638065983"/>
              <c:y val="0.954424921780053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383568"/>
        <c:crosses val="autoZero"/>
        <c:auto val="1"/>
        <c:lblAlgn val="ctr"/>
        <c:lblOffset val="100"/>
        <c:noMultiLvlLbl val="0"/>
      </c:catAx>
      <c:valAx>
        <c:axId val="6653835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Impacto</a:t>
                </a:r>
                <a:r>
                  <a:rPr lang="es-CO" b="1" baseline="0"/>
                  <a:t> total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39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000" b="1"/>
              <a:t>IMPACTO</a:t>
            </a:r>
            <a:r>
              <a:rPr lang="es-CO" sz="2000" b="1" baseline="0"/>
              <a:t> TOTAL VS NUMERO DE REPUESTOS MAT 77304</a:t>
            </a:r>
            <a:endParaRPr lang="es-CO" sz="2000" b="1"/>
          </a:p>
        </c:rich>
      </c:tx>
      <c:layout>
        <c:manualLayout>
          <c:xMode val="edge"/>
          <c:yMode val="edge"/>
          <c:x val="0.23372879863982399"/>
          <c:y val="1.8604575774414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total de inventario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'3'!$G$55:$G$94</c:f>
              <c:numCache>
                <c:formatCode>_-"$"\ * #,##0_-;\-"$"\ * #,##0_-;_-"$"\ * "-"??_-;_-@_-</c:formatCode>
                <c:ptCount val="40"/>
                <c:pt idx="0">
                  <c:v>157490.71999999997</c:v>
                </c:pt>
                <c:pt idx="1">
                  <c:v>314981.43999999994</c:v>
                </c:pt>
                <c:pt idx="2">
                  <c:v>472472.16000000003</c:v>
                </c:pt>
                <c:pt idx="3">
                  <c:v>629962.87999999989</c:v>
                </c:pt>
                <c:pt idx="4">
                  <c:v>787453.6</c:v>
                </c:pt>
                <c:pt idx="5">
                  <c:v>944944.32000000007</c:v>
                </c:pt>
                <c:pt idx="6">
                  <c:v>1102435.04</c:v>
                </c:pt>
                <c:pt idx="7">
                  <c:v>1259925.7599999998</c:v>
                </c:pt>
                <c:pt idx="8">
                  <c:v>1417416.48</c:v>
                </c:pt>
                <c:pt idx="9">
                  <c:v>1574907.2</c:v>
                </c:pt>
                <c:pt idx="10">
                  <c:v>1732397.9200000002</c:v>
                </c:pt>
                <c:pt idx="11">
                  <c:v>1889888.6400000001</c:v>
                </c:pt>
                <c:pt idx="12">
                  <c:v>2047379.3599999999</c:v>
                </c:pt>
                <c:pt idx="13">
                  <c:v>2204870.08</c:v>
                </c:pt>
                <c:pt idx="14">
                  <c:v>2362360.7999999998</c:v>
                </c:pt>
                <c:pt idx="15">
                  <c:v>2519851.5199999996</c:v>
                </c:pt>
                <c:pt idx="16">
                  <c:v>2677342.2400000002</c:v>
                </c:pt>
                <c:pt idx="17">
                  <c:v>2834832.96</c:v>
                </c:pt>
                <c:pt idx="18">
                  <c:v>2992323.68</c:v>
                </c:pt>
                <c:pt idx="19">
                  <c:v>3149814.4</c:v>
                </c:pt>
                <c:pt idx="20">
                  <c:v>3307305.1199999996</c:v>
                </c:pt>
                <c:pt idx="21">
                  <c:v>3464795.8400000003</c:v>
                </c:pt>
                <c:pt idx="22">
                  <c:v>3622286.5599999996</c:v>
                </c:pt>
                <c:pt idx="23">
                  <c:v>3779777.2800000003</c:v>
                </c:pt>
                <c:pt idx="24">
                  <c:v>3937268</c:v>
                </c:pt>
                <c:pt idx="25">
                  <c:v>4094758.7199999997</c:v>
                </c:pt>
                <c:pt idx="26">
                  <c:v>4252249.4400000004</c:v>
                </c:pt>
                <c:pt idx="27">
                  <c:v>4409740.16</c:v>
                </c:pt>
                <c:pt idx="28">
                  <c:v>4567230.88</c:v>
                </c:pt>
                <c:pt idx="29">
                  <c:v>4724721.5999999996</c:v>
                </c:pt>
                <c:pt idx="30">
                  <c:v>4882212.32</c:v>
                </c:pt>
                <c:pt idx="31">
                  <c:v>5039703.0399999991</c:v>
                </c:pt>
                <c:pt idx="32">
                  <c:v>5197193.7600000007</c:v>
                </c:pt>
                <c:pt idx="33">
                  <c:v>5354684.4800000004</c:v>
                </c:pt>
                <c:pt idx="34">
                  <c:v>5512175.2000000002</c:v>
                </c:pt>
                <c:pt idx="35">
                  <c:v>5669665.9199999999</c:v>
                </c:pt>
                <c:pt idx="36">
                  <c:v>5827156.6399999997</c:v>
                </c:pt>
                <c:pt idx="37">
                  <c:v>5984647.3600000003</c:v>
                </c:pt>
                <c:pt idx="38">
                  <c:v>6142138.0800000001</c:v>
                </c:pt>
                <c:pt idx="39">
                  <c:v>6299628.7999999998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73-4A14-A884-CD4284413CE8}"/>
            </c:ext>
          </c:extLst>
        </c:ser>
        <c:ser>
          <c:idx val="1"/>
          <c:order val="1"/>
          <c:tx>
            <c:v>Riesgo total de inventario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'3'!$G$97:$G$136</c:f>
              <c:numCache>
                <c:formatCode>_-"$"\ * #,##0_-;\-"$"\ * #,##0_-;_-"$"\ * "-"??_-;_-@_-</c:formatCode>
                <c:ptCount val="40"/>
                <c:pt idx="0">
                  <c:v>42654628.588540971</c:v>
                </c:pt>
                <c:pt idx="1">
                  <c:v>34726920.11013905</c:v>
                </c:pt>
                <c:pt idx="2">
                  <c:v>23767655.909596227</c:v>
                </c:pt>
                <c:pt idx="3">
                  <c:v>13667598.022375964</c:v>
                </c:pt>
                <c:pt idx="4">
                  <c:v>6686438.0107293166</c:v>
                </c:pt>
                <c:pt idx="5">
                  <c:v>2826135.7706891876</c:v>
                </c:pt>
                <c:pt idx="6">
                  <c:v>1047308.4984787045</c:v>
                </c:pt>
                <c:pt idx="7">
                  <c:v>344722.54959190544</c:v>
                </c:pt>
                <c:pt idx="8">
                  <c:v>101908.84565663147</c:v>
                </c:pt>
                <c:pt idx="9">
                  <c:v>27316.475807711638</c:v>
                </c:pt>
                <c:pt idx="10">
                  <c:v>6693.1773918796407</c:v>
                </c:pt>
                <c:pt idx="11">
                  <c:v>1509.6050773247268</c:v>
                </c:pt>
                <c:pt idx="12">
                  <c:v>315.31001605654325</c:v>
                </c:pt>
                <c:pt idx="13">
                  <c:v>61.311017176009557</c:v>
                </c:pt>
                <c:pt idx="14">
                  <c:v>11.149843456113333</c:v>
                </c:pt>
                <c:pt idx="15">
                  <c:v>1.9041359211172446</c:v>
                </c:pt>
                <c:pt idx="16">
                  <c:v>0.30647765411202954</c:v>
                </c:pt>
                <c:pt idx="17">
                  <c:v>4.6642031853423305E-2</c:v>
                </c:pt>
                <c:pt idx="18">
                  <c:v>6.731282375653791E-3</c:v>
                </c:pt>
                <c:pt idx="19">
                  <c:v>9.2363373397574833E-4</c:v>
                </c:pt>
                <c:pt idx="20">
                  <c:v>1.2079038697265787E-4</c:v>
                </c:pt>
                <c:pt idx="21">
                  <c:v>1.5085860241015325E-5</c:v>
                </c:pt>
                <c:pt idx="22">
                  <c:v>1.8048692140837375E-6</c:v>
                </c:pt>
                <c:pt idx="23">
                  <c:v>2.070100890705362E-7</c:v>
                </c:pt>
                <c:pt idx="24">
                  <c:v>1.9407195850362768E-8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73-4A14-A884-CD4284413CE8}"/>
            </c:ext>
          </c:extLst>
        </c:ser>
        <c:ser>
          <c:idx val="2"/>
          <c:order val="2"/>
          <c:tx>
            <c:v>Impacto total de inventario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'3'!$S$97:$S$136</c:f>
              <c:numCache>
                <c:formatCode>_-"$"\ * #,##0_-;\-"$"\ * #,##0_-;_-"$"\ * "-"??_-;_-@_-</c:formatCode>
                <c:ptCount val="40"/>
                <c:pt idx="0">
                  <c:v>42812119.30854097</c:v>
                </c:pt>
                <c:pt idx="1">
                  <c:v>35041901.550139047</c:v>
                </c:pt>
                <c:pt idx="2">
                  <c:v>24240128.069596227</c:v>
                </c:pt>
                <c:pt idx="3">
                  <c:v>14297560.902375963</c:v>
                </c:pt>
                <c:pt idx="4">
                  <c:v>7473891.6107293162</c:v>
                </c:pt>
                <c:pt idx="5">
                  <c:v>3771080.0906891879</c:v>
                </c:pt>
                <c:pt idx="6">
                  <c:v>2149743.5384787046</c:v>
                </c:pt>
                <c:pt idx="7">
                  <c:v>1604648.3095919052</c:v>
                </c:pt>
                <c:pt idx="8">
                  <c:v>1519325.3256566315</c:v>
                </c:pt>
                <c:pt idx="9">
                  <c:v>1602223.6758077117</c:v>
                </c:pt>
                <c:pt idx="10">
                  <c:v>1739091.0973918799</c:v>
                </c:pt>
                <c:pt idx="11">
                  <c:v>1891398.2450773248</c:v>
                </c:pt>
                <c:pt idx="12">
                  <c:v>2047694.6700160564</c:v>
                </c:pt>
                <c:pt idx="13">
                  <c:v>2204931.3910171762</c:v>
                </c:pt>
                <c:pt idx="14">
                  <c:v>2362371.949843456</c:v>
                </c:pt>
                <c:pt idx="15">
                  <c:v>2519853.4241359206</c:v>
                </c:pt>
                <c:pt idx="16">
                  <c:v>2677342.5464776545</c:v>
                </c:pt>
                <c:pt idx="17">
                  <c:v>2834833.0066420319</c:v>
                </c:pt>
                <c:pt idx="18">
                  <c:v>2992323.6867312826</c:v>
                </c:pt>
                <c:pt idx="19">
                  <c:v>3149814.4009236335</c:v>
                </c:pt>
                <c:pt idx="20">
                  <c:v>3307305.1201207899</c:v>
                </c:pt>
                <c:pt idx="21">
                  <c:v>3464795.8400150863</c:v>
                </c:pt>
                <c:pt idx="22">
                  <c:v>3622286.5600018045</c:v>
                </c:pt>
                <c:pt idx="23">
                  <c:v>3779777.2800002075</c:v>
                </c:pt>
                <c:pt idx="24">
                  <c:v>3937268.0000000196</c:v>
                </c:pt>
                <c:pt idx="25">
                  <c:v>4094758.7199999997</c:v>
                </c:pt>
                <c:pt idx="26">
                  <c:v>4252249.4400000004</c:v>
                </c:pt>
                <c:pt idx="27">
                  <c:v>4409740.16</c:v>
                </c:pt>
                <c:pt idx="28">
                  <c:v>4567230.88</c:v>
                </c:pt>
                <c:pt idx="29">
                  <c:v>4724721.5999999996</c:v>
                </c:pt>
                <c:pt idx="30">
                  <c:v>4882212.32</c:v>
                </c:pt>
                <c:pt idx="31">
                  <c:v>5039703.0399999991</c:v>
                </c:pt>
                <c:pt idx="32">
                  <c:v>5197193.7600000007</c:v>
                </c:pt>
                <c:pt idx="33">
                  <c:v>5354684.4800000004</c:v>
                </c:pt>
                <c:pt idx="34">
                  <c:v>5512175.2000000002</c:v>
                </c:pt>
                <c:pt idx="35">
                  <c:v>5669665.9199999999</c:v>
                </c:pt>
                <c:pt idx="36">
                  <c:v>5827156.6399999997</c:v>
                </c:pt>
                <c:pt idx="37">
                  <c:v>5984647.3600000003</c:v>
                </c:pt>
                <c:pt idx="38">
                  <c:v>6142138.0800000001</c:v>
                </c:pt>
                <c:pt idx="39">
                  <c:v>6299628.7999999998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73-4A14-A884-CD4284413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152056"/>
        <c:axId val="336152384"/>
      </c:lineChart>
      <c:catAx>
        <c:axId val="336152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152384"/>
        <c:crosses val="autoZero"/>
        <c:auto val="1"/>
        <c:lblAlgn val="ctr"/>
        <c:lblOffset val="100"/>
        <c:noMultiLvlLbl val="0"/>
      </c:catAx>
      <c:valAx>
        <c:axId val="336152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Impacto</a:t>
                </a:r>
                <a:r>
                  <a:rPr lang="es-CO" b="1" baseline="0"/>
                  <a:t> toal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15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aseline="0"/>
              <a:t>NIVEL DE CONFIANZA VS PROBABILIDAD total DE contar con el repuesto cuando se requiera</a:t>
            </a:r>
            <a:endParaRPr lang="en-US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10351868245179"/>
          <c:y val="0.15757425055394805"/>
          <c:w val="0.8546254478231492"/>
          <c:h val="0.70021330439349949"/>
        </c:manualLayout>
      </c:layout>
      <c:lineChart>
        <c:grouping val="standard"/>
        <c:varyColors val="0"/>
        <c:ser>
          <c:idx val="1"/>
          <c:order val="0"/>
          <c:tx>
            <c:v>Distribución de Poisson</c:v>
          </c:tx>
          <c:spPr>
            <a:ln w="31750" cap="sq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val>
            <c:numRef>
              <c:f>'1'!$G$11:$G$51</c:f>
              <c:numCache>
                <c:formatCode>General</c:formatCode>
                <c:ptCount val="41"/>
                <c:pt idx="0">
                  <c:v>2.6548022929476578</c:v>
                </c:pt>
                <c:pt idx="1">
                  <c:v>12.288548853596119</c:v>
                </c:pt>
                <c:pt idx="2">
                  <c:v>29.768018613236684</c:v>
                </c:pt>
                <c:pt idx="3">
                  <c:v>50.9111852344979</c:v>
                </c:pt>
                <c:pt idx="4">
                  <c:v>70.092265993306086</c:v>
                </c:pt>
                <c:pt idx="5">
                  <c:v>84.013127164818741</c:v>
                </c:pt>
                <c:pt idx="6">
                  <c:v>92.432464001349572</c:v>
                </c:pt>
                <c:pt idx="7">
                  <c:v>96.797048217407152</c:v>
                </c:pt>
                <c:pt idx="8">
                  <c:v>98.776823617810876</c:v>
                </c:pt>
                <c:pt idx="9">
                  <c:v>99.575069059253664</c:v>
                </c:pt>
                <c:pt idx="10">
                  <c:v>99.864736365044422</c:v>
                </c:pt>
                <c:pt idx="11">
                  <c:v>99.960294975885645</c:v>
                </c:pt>
                <c:pt idx="12">
                  <c:v>99.989191899804041</c:v>
                </c:pt>
                <c:pt idx="13">
                  <c:v>99.997258142689802</c:v>
                </c:pt>
                <c:pt idx="14">
                  <c:v>99.999348912845804</c:v>
                </c:pt>
                <c:pt idx="15">
                  <c:v>99.99985471196193</c:v>
                </c:pt>
                <c:pt idx="16">
                  <c:v>99.999969427201478</c:v>
                </c:pt>
                <c:pt idx="17">
                  <c:v>99.999993914181545</c:v>
                </c:pt>
                <c:pt idx="18">
                  <c:v>99.999998850756739</c:v>
                </c:pt>
                <c:pt idx="19">
                  <c:v>99.999999793590618</c:v>
                </c:pt>
                <c:pt idx="20">
                  <c:v>99.9999999646584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B9-4941-9A3D-229BB6209E8F}"/>
            </c:ext>
          </c:extLst>
        </c:ser>
        <c:ser>
          <c:idx val="2"/>
          <c:order val="1"/>
          <c:tx>
            <c:v>Nivel de confianza</c:v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'1'!$E$11:$E$51</c:f>
              <c:numCache>
                <c:formatCode>General</c:formatCode>
                <c:ptCount val="41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95</c:v>
                </c:pt>
                <c:pt idx="21">
                  <c:v>95</c:v>
                </c:pt>
                <c:pt idx="22">
                  <c:v>95</c:v>
                </c:pt>
                <c:pt idx="23">
                  <c:v>95</c:v>
                </c:pt>
                <c:pt idx="24">
                  <c:v>95</c:v>
                </c:pt>
                <c:pt idx="25">
                  <c:v>95</c:v>
                </c:pt>
                <c:pt idx="26">
                  <c:v>95</c:v>
                </c:pt>
                <c:pt idx="27">
                  <c:v>95</c:v>
                </c:pt>
                <c:pt idx="28">
                  <c:v>95</c:v>
                </c:pt>
                <c:pt idx="29">
                  <c:v>95</c:v>
                </c:pt>
                <c:pt idx="30">
                  <c:v>95</c:v>
                </c:pt>
                <c:pt idx="31">
                  <c:v>95</c:v>
                </c:pt>
                <c:pt idx="32">
                  <c:v>95</c:v>
                </c:pt>
                <c:pt idx="33">
                  <c:v>95</c:v>
                </c:pt>
                <c:pt idx="34">
                  <c:v>95</c:v>
                </c:pt>
                <c:pt idx="35">
                  <c:v>95</c:v>
                </c:pt>
                <c:pt idx="36">
                  <c:v>95</c:v>
                </c:pt>
                <c:pt idx="37">
                  <c:v>95</c:v>
                </c:pt>
                <c:pt idx="38">
                  <c:v>95</c:v>
                </c:pt>
                <c:pt idx="39">
                  <c:v>95</c:v>
                </c:pt>
                <c:pt idx="40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16-4911-B94D-5153EC857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845760"/>
        <c:axId val="642844448"/>
      </c:lineChart>
      <c:catAx>
        <c:axId val="642845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numero de repuestos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4448"/>
        <c:crosses val="autoZero"/>
        <c:auto val="1"/>
        <c:lblAlgn val="ctr"/>
        <c:lblOffset val="100"/>
        <c:noMultiLvlLbl val="0"/>
      </c:catAx>
      <c:valAx>
        <c:axId val="6428444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nivel de confianza [%]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8823532899218693E-2"/>
              <c:y val="0.33351191145108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5760"/>
        <c:crosses val="autoZero"/>
        <c:crossBetween val="between"/>
      </c:valAx>
      <c:spPr>
        <a:solidFill>
          <a:schemeClr val="bg1"/>
        </a:solidFill>
        <a:ln w="1587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4035928492066419"/>
          <c:y val="0.93001703255576829"/>
          <c:w val="0.49093775099036718"/>
          <c:h val="5.2872441417313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COSTO</a:t>
            </a:r>
            <a:r>
              <a:rPr lang="en-US" sz="2000" b="1" baseline="0"/>
              <a:t> TOTAL DE INVENTARIO VS NUMERO DE REPUESTOS</a:t>
            </a:r>
            <a:endParaRPr lang="en-US" sz="2000" b="1"/>
          </a:p>
        </c:rich>
      </c:tx>
      <c:layout>
        <c:manualLayout>
          <c:xMode val="edge"/>
          <c:yMode val="edge"/>
          <c:x val="0.125434863325011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Costo total de inventario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'1'!$B$55:$B$94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'1'!$G$55:$G$94</c:f>
              <c:numCache>
                <c:formatCode>_-"$"\ * #,##0_-;\-"$"\ * #,##0_-;_-"$"\ * "-"??_-;_-@_-</c:formatCode>
                <c:ptCount val="40"/>
                <c:pt idx="0">
                  <c:v>614352.80000000005</c:v>
                </c:pt>
                <c:pt idx="1">
                  <c:v>1228705.6000000001</c:v>
                </c:pt>
                <c:pt idx="2">
                  <c:v>1843058.4</c:v>
                </c:pt>
                <c:pt idx="3">
                  <c:v>2457411.2000000002</c:v>
                </c:pt>
                <c:pt idx="4">
                  <c:v>3071764</c:v>
                </c:pt>
                <c:pt idx="5">
                  <c:v>3686116.8</c:v>
                </c:pt>
                <c:pt idx="6">
                  <c:v>4300469.5999999996</c:v>
                </c:pt>
                <c:pt idx="7">
                  <c:v>4914822.4000000004</c:v>
                </c:pt>
                <c:pt idx="8">
                  <c:v>5529175.2000000002</c:v>
                </c:pt>
                <c:pt idx="9">
                  <c:v>6143528</c:v>
                </c:pt>
                <c:pt idx="10">
                  <c:v>6757880.7999999998</c:v>
                </c:pt>
                <c:pt idx="11">
                  <c:v>7372233.5999999996</c:v>
                </c:pt>
                <c:pt idx="12">
                  <c:v>7986586.4000000004</c:v>
                </c:pt>
                <c:pt idx="13">
                  <c:v>8600939.1999999993</c:v>
                </c:pt>
                <c:pt idx="14">
                  <c:v>9215292</c:v>
                </c:pt>
                <c:pt idx="15">
                  <c:v>9829644.8000000007</c:v>
                </c:pt>
                <c:pt idx="16">
                  <c:v>10443997.6</c:v>
                </c:pt>
                <c:pt idx="17">
                  <c:v>11058350.4</c:v>
                </c:pt>
                <c:pt idx="18">
                  <c:v>11672703.199999999</c:v>
                </c:pt>
                <c:pt idx="19">
                  <c:v>12287056</c:v>
                </c:pt>
                <c:pt idx="20">
                  <c:v>12901408.800000001</c:v>
                </c:pt>
                <c:pt idx="21">
                  <c:v>13515761.6</c:v>
                </c:pt>
                <c:pt idx="22">
                  <c:v>14130114.4</c:v>
                </c:pt>
                <c:pt idx="23">
                  <c:v>14744467.199999999</c:v>
                </c:pt>
                <c:pt idx="24">
                  <c:v>15358820</c:v>
                </c:pt>
                <c:pt idx="25">
                  <c:v>15973172.800000001</c:v>
                </c:pt>
                <c:pt idx="26">
                  <c:v>16587525.6</c:v>
                </c:pt>
                <c:pt idx="27">
                  <c:v>17201878.399999999</c:v>
                </c:pt>
                <c:pt idx="28">
                  <c:v>17816231.199999999</c:v>
                </c:pt>
                <c:pt idx="29">
                  <c:v>18430584</c:v>
                </c:pt>
                <c:pt idx="30">
                  <c:v>19044936.800000001</c:v>
                </c:pt>
                <c:pt idx="31">
                  <c:v>19659289.600000001</c:v>
                </c:pt>
                <c:pt idx="32">
                  <c:v>20273642.399999999</c:v>
                </c:pt>
                <c:pt idx="33">
                  <c:v>20887995.199999999</c:v>
                </c:pt>
                <c:pt idx="34">
                  <c:v>21502348</c:v>
                </c:pt>
                <c:pt idx="35">
                  <c:v>22116700.800000001</c:v>
                </c:pt>
                <c:pt idx="36">
                  <c:v>22731053.600000001</c:v>
                </c:pt>
                <c:pt idx="37">
                  <c:v>23345406.399999999</c:v>
                </c:pt>
                <c:pt idx="38">
                  <c:v>23959759.199999999</c:v>
                </c:pt>
                <c:pt idx="39">
                  <c:v>24574112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E9-45D4-82CC-B8D36F7DDE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3446024"/>
        <c:axId val="803441432"/>
      </c:barChart>
      <c:catAx>
        <c:axId val="803446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 EN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441432"/>
        <c:crosses val="autoZero"/>
        <c:auto val="1"/>
        <c:lblAlgn val="ctr"/>
        <c:lblOffset val="100"/>
        <c:noMultiLvlLbl val="0"/>
      </c:catAx>
      <c:valAx>
        <c:axId val="803441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</a:t>
                </a:r>
                <a:r>
                  <a:rPr lang="es-CO" b="1" baseline="0"/>
                  <a:t> TOTAL DE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446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 baseline="0"/>
              <a:t>RIESGO TOTAL VS NUMERO DE REPUESTOS EN INVENTARIO</a:t>
            </a:r>
            <a:endParaRPr lang="en-US" sz="2000" b="1"/>
          </a:p>
        </c:rich>
      </c:tx>
      <c:layout>
        <c:manualLayout>
          <c:xMode val="edge"/>
          <c:yMode val="edge"/>
          <c:x val="0.19041331447644519"/>
          <c:y val="1.29292945746338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Impacto 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'1'!$E$97:$E$136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'1'!$G$97:$G$136</c:f>
              <c:numCache>
                <c:formatCode>_-"$"\ * #,##0_-;\-"$"\ * #,##0_-;_-"$"\ * "-"??_-;_-@_-</c:formatCode>
                <c:ptCount val="40"/>
                <c:pt idx="0">
                  <c:v>27911593.848147701</c:v>
                </c:pt>
                <c:pt idx="1">
                  <c:v>25149328.96430609</c:v>
                </c:pt>
                <c:pt idx="2">
                  <c:v>20137475.559063874</c:v>
                </c:pt>
                <c:pt idx="3">
                  <c:v>14075137.680082886</c:v>
                </c:pt>
                <c:pt idx="4">
                  <c:v>8575384.7562713325</c:v>
                </c:pt>
                <c:pt idx="5">
                  <c:v>4583884.0742858518</c:v>
                </c:pt>
                <c:pt idx="6">
                  <c:v>2169824.4618210397</c:v>
                </c:pt>
                <c:pt idx="7">
                  <c:v>918375.95871928206</c:v>
                </c:pt>
                <c:pt idx="8">
                  <c:v>350718.91771232302</c:v>
                </c:pt>
                <c:pt idx="9">
                  <c:v>121839.59877831537</c:v>
                </c:pt>
                <c:pt idx="10">
                  <c:v>38783.871523542977</c:v>
                </c:pt>
                <c:pt idx="11">
                  <c:v>11384.542154260669</c:v>
                </c:pt>
                <c:pt idx="12">
                  <c:v>3098.9849529869362</c:v>
                </c:pt>
                <c:pt idx="13">
                  <c:v>786.16726283852961</c:v>
                </c:pt>
                <c:pt idx="14">
                  <c:v>186.68491754838567</c:v>
                </c:pt>
                <c:pt idx="15">
                  <c:v>41.658148579643125</c:v>
                </c:pt>
                <c:pt idx="16">
                  <c:v>8.7660773746572431</c:v>
                </c:pt>
                <c:pt idx="17">
                  <c:v>1.7449745540809543</c:v>
                </c:pt>
                <c:pt idx="18">
                  <c:v>0.32952022161282457</c:v>
                </c:pt>
                <c:pt idx="19">
                  <c:v>5.9183349290947262E-2</c:v>
                </c:pt>
                <c:pt idx="20">
                  <c:v>1.0133426247193711E-2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12-4BA8-ABB8-2232088C52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2351456"/>
        <c:axId val="762353424"/>
      </c:barChart>
      <c:catAx>
        <c:axId val="762351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 EN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353424"/>
        <c:crosses val="autoZero"/>
        <c:auto val="1"/>
        <c:lblAlgn val="ctr"/>
        <c:lblOffset val="100"/>
        <c:noMultiLvlLbl val="0"/>
      </c:catAx>
      <c:valAx>
        <c:axId val="7623534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RIESGO TOTAL DE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35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IMPACTO</a:t>
            </a:r>
            <a:r>
              <a:rPr lang="en-US" sz="2000" b="1" baseline="0"/>
              <a:t> TOTAL VS NUMERO DE REPUESTOS</a:t>
            </a:r>
            <a:endParaRPr lang="en-US" sz="2000" b="1"/>
          </a:p>
        </c:rich>
      </c:tx>
      <c:layout>
        <c:manualLayout>
          <c:xMode val="edge"/>
          <c:yMode val="edge"/>
          <c:x val="0.18683181768607715"/>
          <c:y val="1.22920422568467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Impacto 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'1'!$S$97:$S$136</c:f>
              <c:numCache>
                <c:formatCode>_-"$"\ * #,##0_-;\-"$"\ * #,##0_-;_-"$"\ * "-"??_-;_-@_-</c:formatCode>
                <c:ptCount val="40"/>
                <c:pt idx="0">
                  <c:v>28525946.648147702</c:v>
                </c:pt>
                <c:pt idx="1">
                  <c:v>26378034.564306092</c:v>
                </c:pt>
                <c:pt idx="2">
                  <c:v>21980533.959063873</c:v>
                </c:pt>
                <c:pt idx="3">
                  <c:v>16532548.880082887</c:v>
                </c:pt>
                <c:pt idx="4">
                  <c:v>11647148.756271333</c:v>
                </c:pt>
                <c:pt idx="5">
                  <c:v>8270000.8742858516</c:v>
                </c:pt>
                <c:pt idx="6">
                  <c:v>6470294.0618210398</c:v>
                </c:pt>
                <c:pt idx="7">
                  <c:v>5833198.3587192828</c:v>
                </c:pt>
                <c:pt idx="8">
                  <c:v>5879894.1177123236</c:v>
                </c:pt>
                <c:pt idx="9">
                  <c:v>6265367.5987783158</c:v>
                </c:pt>
                <c:pt idx="10">
                  <c:v>6796664.6715235431</c:v>
                </c:pt>
                <c:pt idx="11">
                  <c:v>7383618.1421542605</c:v>
                </c:pt>
                <c:pt idx="12">
                  <c:v>7989685.3849529875</c:v>
                </c:pt>
                <c:pt idx="13">
                  <c:v>8601725.3672628384</c:v>
                </c:pt>
                <c:pt idx="14">
                  <c:v>9215478.6849175487</c:v>
                </c:pt>
                <c:pt idx="15">
                  <c:v>9829686.45814858</c:v>
                </c:pt>
                <c:pt idx="16">
                  <c:v>10444006.366077375</c:v>
                </c:pt>
                <c:pt idx="17">
                  <c:v>11058352.144974554</c:v>
                </c:pt>
                <c:pt idx="18">
                  <c:v>11672703.529520221</c:v>
                </c:pt>
                <c:pt idx="19">
                  <c:v>12287056.05918335</c:v>
                </c:pt>
                <c:pt idx="20">
                  <c:v>12901408.810133427</c:v>
                </c:pt>
                <c:pt idx="21">
                  <c:v>13515761.6</c:v>
                </c:pt>
                <c:pt idx="22">
                  <c:v>14130114.4</c:v>
                </c:pt>
                <c:pt idx="23">
                  <c:v>14744467.199999999</c:v>
                </c:pt>
                <c:pt idx="24">
                  <c:v>15358820</c:v>
                </c:pt>
                <c:pt idx="25">
                  <c:v>15973172.800000001</c:v>
                </c:pt>
                <c:pt idx="26">
                  <c:v>16587525.6</c:v>
                </c:pt>
                <c:pt idx="27">
                  <c:v>17201878.399999999</c:v>
                </c:pt>
                <c:pt idx="28">
                  <c:v>17816231.199999999</c:v>
                </c:pt>
                <c:pt idx="29">
                  <c:v>18430584</c:v>
                </c:pt>
                <c:pt idx="30">
                  <c:v>19044936.800000001</c:v>
                </c:pt>
                <c:pt idx="31">
                  <c:v>19659289.600000001</c:v>
                </c:pt>
                <c:pt idx="32">
                  <c:v>20273642.399999999</c:v>
                </c:pt>
                <c:pt idx="33">
                  <c:v>20887995.199999999</c:v>
                </c:pt>
                <c:pt idx="34">
                  <c:v>21502348</c:v>
                </c:pt>
                <c:pt idx="35">
                  <c:v>22116700.800000001</c:v>
                </c:pt>
                <c:pt idx="36">
                  <c:v>22731053.600000001</c:v>
                </c:pt>
                <c:pt idx="37">
                  <c:v>23345406.399999999</c:v>
                </c:pt>
                <c:pt idx="38">
                  <c:v>23959759.199999999</c:v>
                </c:pt>
                <c:pt idx="39">
                  <c:v>24574112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B3-4B7D-B4AC-2A54204140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390784"/>
        <c:axId val="665383568"/>
      </c:barChart>
      <c:catAx>
        <c:axId val="665390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5751322638065983"/>
              <c:y val="0.954424921780053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383568"/>
        <c:crosses val="autoZero"/>
        <c:auto val="1"/>
        <c:lblAlgn val="ctr"/>
        <c:lblOffset val="100"/>
        <c:noMultiLvlLbl val="0"/>
      </c:catAx>
      <c:valAx>
        <c:axId val="6653835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Impacto</a:t>
                </a:r>
                <a:r>
                  <a:rPr lang="es-CO" b="1" baseline="0"/>
                  <a:t> total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39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000" b="1"/>
              <a:t>IMPACTO</a:t>
            </a:r>
            <a:r>
              <a:rPr lang="es-CO" sz="2000" b="1" baseline="0"/>
              <a:t> TOTAL VS NUMERO DE REPUESTOS MAT 77238</a:t>
            </a:r>
            <a:endParaRPr lang="es-CO" sz="2000" b="1"/>
          </a:p>
        </c:rich>
      </c:tx>
      <c:layout>
        <c:manualLayout>
          <c:xMode val="edge"/>
          <c:yMode val="edge"/>
          <c:x val="0.23372879863982399"/>
          <c:y val="1.8604575774414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total de inventario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'1'!$G$55:$G$94</c:f>
              <c:numCache>
                <c:formatCode>_-"$"\ * #,##0_-;\-"$"\ * #,##0_-;_-"$"\ * "-"??_-;_-@_-</c:formatCode>
                <c:ptCount val="40"/>
                <c:pt idx="0">
                  <c:v>614352.80000000005</c:v>
                </c:pt>
                <c:pt idx="1">
                  <c:v>1228705.6000000001</c:v>
                </c:pt>
                <c:pt idx="2">
                  <c:v>1843058.4</c:v>
                </c:pt>
                <c:pt idx="3">
                  <c:v>2457411.2000000002</c:v>
                </c:pt>
                <c:pt idx="4">
                  <c:v>3071764</c:v>
                </c:pt>
                <c:pt idx="5">
                  <c:v>3686116.8</c:v>
                </c:pt>
                <c:pt idx="6">
                  <c:v>4300469.5999999996</c:v>
                </c:pt>
                <c:pt idx="7">
                  <c:v>4914822.4000000004</c:v>
                </c:pt>
                <c:pt idx="8">
                  <c:v>5529175.2000000002</c:v>
                </c:pt>
                <c:pt idx="9">
                  <c:v>6143528</c:v>
                </c:pt>
                <c:pt idx="10">
                  <c:v>6757880.7999999998</c:v>
                </c:pt>
                <c:pt idx="11">
                  <c:v>7372233.5999999996</c:v>
                </c:pt>
                <c:pt idx="12">
                  <c:v>7986586.4000000004</c:v>
                </c:pt>
                <c:pt idx="13">
                  <c:v>8600939.1999999993</c:v>
                </c:pt>
                <c:pt idx="14">
                  <c:v>9215292</c:v>
                </c:pt>
                <c:pt idx="15">
                  <c:v>9829644.8000000007</c:v>
                </c:pt>
                <c:pt idx="16">
                  <c:v>10443997.6</c:v>
                </c:pt>
                <c:pt idx="17">
                  <c:v>11058350.4</c:v>
                </c:pt>
                <c:pt idx="18">
                  <c:v>11672703.199999999</c:v>
                </c:pt>
                <c:pt idx="19">
                  <c:v>12287056</c:v>
                </c:pt>
                <c:pt idx="20">
                  <c:v>12901408.800000001</c:v>
                </c:pt>
                <c:pt idx="21">
                  <c:v>13515761.6</c:v>
                </c:pt>
                <c:pt idx="22">
                  <c:v>14130114.4</c:v>
                </c:pt>
                <c:pt idx="23">
                  <c:v>14744467.199999999</c:v>
                </c:pt>
                <c:pt idx="24">
                  <c:v>15358820</c:v>
                </c:pt>
                <c:pt idx="25">
                  <c:v>15973172.800000001</c:v>
                </c:pt>
                <c:pt idx="26">
                  <c:v>16587525.6</c:v>
                </c:pt>
                <c:pt idx="27">
                  <c:v>17201878.399999999</c:v>
                </c:pt>
                <c:pt idx="28">
                  <c:v>17816231.199999999</c:v>
                </c:pt>
                <c:pt idx="29">
                  <c:v>18430584</c:v>
                </c:pt>
                <c:pt idx="30">
                  <c:v>19044936.800000001</c:v>
                </c:pt>
                <c:pt idx="31">
                  <c:v>19659289.600000001</c:v>
                </c:pt>
                <c:pt idx="32">
                  <c:v>20273642.399999999</c:v>
                </c:pt>
                <c:pt idx="33">
                  <c:v>20887995.199999999</c:v>
                </c:pt>
                <c:pt idx="34">
                  <c:v>21502348</c:v>
                </c:pt>
                <c:pt idx="35">
                  <c:v>22116700.800000001</c:v>
                </c:pt>
                <c:pt idx="36">
                  <c:v>22731053.600000001</c:v>
                </c:pt>
                <c:pt idx="37">
                  <c:v>23345406.399999999</c:v>
                </c:pt>
                <c:pt idx="38">
                  <c:v>23959759.199999999</c:v>
                </c:pt>
                <c:pt idx="39">
                  <c:v>24574112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1A-4FF7-B3DE-300593A7F2CE}"/>
            </c:ext>
          </c:extLst>
        </c:ser>
        <c:ser>
          <c:idx val="1"/>
          <c:order val="1"/>
          <c:tx>
            <c:v>Riesgo total de inventario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'1'!$G$97:$G$136</c:f>
              <c:numCache>
                <c:formatCode>_-"$"\ * #,##0_-;\-"$"\ * #,##0_-;_-"$"\ * "-"??_-;_-@_-</c:formatCode>
                <c:ptCount val="40"/>
                <c:pt idx="0">
                  <c:v>27911593.848147701</c:v>
                </c:pt>
                <c:pt idx="1">
                  <c:v>25149328.96430609</c:v>
                </c:pt>
                <c:pt idx="2">
                  <c:v>20137475.559063874</c:v>
                </c:pt>
                <c:pt idx="3">
                  <c:v>14075137.680082886</c:v>
                </c:pt>
                <c:pt idx="4">
                  <c:v>8575384.7562713325</c:v>
                </c:pt>
                <c:pt idx="5">
                  <c:v>4583884.0742858518</c:v>
                </c:pt>
                <c:pt idx="6">
                  <c:v>2169824.4618210397</c:v>
                </c:pt>
                <c:pt idx="7">
                  <c:v>918375.95871928206</c:v>
                </c:pt>
                <c:pt idx="8">
                  <c:v>350718.91771232302</c:v>
                </c:pt>
                <c:pt idx="9">
                  <c:v>121839.59877831537</c:v>
                </c:pt>
                <c:pt idx="10">
                  <c:v>38783.871523542977</c:v>
                </c:pt>
                <c:pt idx="11">
                  <c:v>11384.542154260669</c:v>
                </c:pt>
                <c:pt idx="12">
                  <c:v>3098.9849529869362</c:v>
                </c:pt>
                <c:pt idx="13">
                  <c:v>786.16726283852961</c:v>
                </c:pt>
                <c:pt idx="14">
                  <c:v>186.68491754838567</c:v>
                </c:pt>
                <c:pt idx="15">
                  <c:v>41.658148579643125</c:v>
                </c:pt>
                <c:pt idx="16">
                  <c:v>8.7660773746572431</c:v>
                </c:pt>
                <c:pt idx="17">
                  <c:v>1.7449745540809543</c:v>
                </c:pt>
                <c:pt idx="18">
                  <c:v>0.32952022161282457</c:v>
                </c:pt>
                <c:pt idx="19">
                  <c:v>5.9183349290947262E-2</c:v>
                </c:pt>
                <c:pt idx="20">
                  <c:v>1.0133426247193711E-2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1A-4FF7-B3DE-300593A7F2CE}"/>
            </c:ext>
          </c:extLst>
        </c:ser>
        <c:ser>
          <c:idx val="2"/>
          <c:order val="2"/>
          <c:tx>
            <c:v>Impacto total de inventario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'1'!$S$97:$S$136</c:f>
              <c:numCache>
                <c:formatCode>_-"$"\ * #,##0_-;\-"$"\ * #,##0_-;_-"$"\ * "-"??_-;_-@_-</c:formatCode>
                <c:ptCount val="40"/>
                <c:pt idx="0">
                  <c:v>28525946.648147702</c:v>
                </c:pt>
                <c:pt idx="1">
                  <c:v>26378034.564306092</c:v>
                </c:pt>
                <c:pt idx="2">
                  <c:v>21980533.959063873</c:v>
                </c:pt>
                <c:pt idx="3">
                  <c:v>16532548.880082887</c:v>
                </c:pt>
                <c:pt idx="4">
                  <c:v>11647148.756271333</c:v>
                </c:pt>
                <c:pt idx="5">
                  <c:v>8270000.8742858516</c:v>
                </c:pt>
                <c:pt idx="6">
                  <c:v>6470294.0618210398</c:v>
                </c:pt>
                <c:pt idx="7">
                  <c:v>5833198.3587192828</c:v>
                </c:pt>
                <c:pt idx="8">
                  <c:v>5879894.1177123236</c:v>
                </c:pt>
                <c:pt idx="9">
                  <c:v>6265367.5987783158</c:v>
                </c:pt>
                <c:pt idx="10">
                  <c:v>6796664.6715235431</c:v>
                </c:pt>
                <c:pt idx="11">
                  <c:v>7383618.1421542605</c:v>
                </c:pt>
                <c:pt idx="12">
                  <c:v>7989685.3849529875</c:v>
                </c:pt>
                <c:pt idx="13">
                  <c:v>8601725.3672628384</c:v>
                </c:pt>
                <c:pt idx="14">
                  <c:v>9215478.6849175487</c:v>
                </c:pt>
                <c:pt idx="15">
                  <c:v>9829686.45814858</c:v>
                </c:pt>
                <c:pt idx="16">
                  <c:v>10444006.366077375</c:v>
                </c:pt>
                <c:pt idx="17">
                  <c:v>11058352.144974554</c:v>
                </c:pt>
                <c:pt idx="18">
                  <c:v>11672703.529520221</c:v>
                </c:pt>
                <c:pt idx="19">
                  <c:v>12287056.05918335</c:v>
                </c:pt>
                <c:pt idx="20">
                  <c:v>12901408.810133427</c:v>
                </c:pt>
                <c:pt idx="21">
                  <c:v>13515761.6</c:v>
                </c:pt>
                <c:pt idx="22">
                  <c:v>14130114.4</c:v>
                </c:pt>
                <c:pt idx="23">
                  <c:v>14744467.199999999</c:v>
                </c:pt>
                <c:pt idx="24">
                  <c:v>15358820</c:v>
                </c:pt>
                <c:pt idx="25">
                  <c:v>15973172.800000001</c:v>
                </c:pt>
                <c:pt idx="26">
                  <c:v>16587525.6</c:v>
                </c:pt>
                <c:pt idx="27">
                  <c:v>17201878.399999999</c:v>
                </c:pt>
                <c:pt idx="28">
                  <c:v>17816231.199999999</c:v>
                </c:pt>
                <c:pt idx="29">
                  <c:v>18430584</c:v>
                </c:pt>
                <c:pt idx="30">
                  <c:v>19044936.800000001</c:v>
                </c:pt>
                <c:pt idx="31">
                  <c:v>19659289.600000001</c:v>
                </c:pt>
                <c:pt idx="32">
                  <c:v>20273642.399999999</c:v>
                </c:pt>
                <c:pt idx="33">
                  <c:v>20887995.199999999</c:v>
                </c:pt>
                <c:pt idx="34">
                  <c:v>21502348</c:v>
                </c:pt>
                <c:pt idx="35">
                  <c:v>22116700.800000001</c:v>
                </c:pt>
                <c:pt idx="36">
                  <c:v>22731053.600000001</c:v>
                </c:pt>
                <c:pt idx="37">
                  <c:v>23345406.399999999</c:v>
                </c:pt>
                <c:pt idx="38">
                  <c:v>23959759.199999999</c:v>
                </c:pt>
                <c:pt idx="39">
                  <c:v>24574112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1A-4FF7-B3DE-300593A7F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152056"/>
        <c:axId val="336152384"/>
      </c:lineChart>
      <c:catAx>
        <c:axId val="336152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152384"/>
        <c:crosses val="autoZero"/>
        <c:auto val="1"/>
        <c:lblAlgn val="ctr"/>
        <c:lblOffset val="100"/>
        <c:noMultiLvlLbl val="0"/>
      </c:catAx>
      <c:valAx>
        <c:axId val="336152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Impacto</a:t>
                </a:r>
                <a:r>
                  <a:rPr lang="es-CO" b="1" baseline="0"/>
                  <a:t> toal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15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PROBABILIDAD</a:t>
            </a:r>
            <a:r>
              <a:rPr lang="en-US" sz="2000" baseline="0"/>
              <a:t> INDIVIDUAL DE CONTAR CON EL REPUESTO CUANDO SE REQUIERA</a:t>
            </a:r>
            <a:endParaRPr lang="en-US" sz="2000"/>
          </a:p>
        </c:rich>
      </c:tx>
      <c:layout>
        <c:manualLayout>
          <c:xMode val="edge"/>
          <c:yMode val="edge"/>
          <c:x val="0.15220872862549645"/>
          <c:y val="2.03332363237055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49221537495275"/>
          <c:y val="0.16234350320654412"/>
          <c:w val="0.8546254478231492"/>
          <c:h val="0.6629940545384827"/>
        </c:manualLayout>
      </c:layout>
      <c:lineChart>
        <c:grouping val="standard"/>
        <c:varyColors val="0"/>
        <c:ser>
          <c:idx val="1"/>
          <c:order val="0"/>
          <c:tx>
            <c:v>Distribución de Poisson individual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val>
            <c:numRef>
              <c:f>'2'!$F$11:$F$51</c:f>
              <c:numCache>
                <c:formatCode>General</c:formatCode>
                <c:ptCount val="41"/>
                <c:pt idx="0">
                  <c:v>21.114714898794901</c:v>
                </c:pt>
                <c:pt idx="1">
                  <c:v>32.837604610605837</c:v>
                </c:pt>
                <c:pt idx="2">
                  <c:v>25.534521345207107</c:v>
                </c:pt>
                <c:pt idx="3">
                  <c:v>13.237095865355361</c:v>
                </c:pt>
                <c:pt idx="4">
                  <c:v>5.1465828724501677</c:v>
                </c:pt>
                <c:pt idx="5">
                  <c:v>1.6007931366469001</c:v>
                </c:pt>
                <c:pt idx="6">
                  <c:v>0.41492558101887667</c:v>
                </c:pt>
                <c:pt idx="7">
                  <c:v>9.21846090857939E-2</c:v>
                </c:pt>
                <c:pt idx="8">
                  <c:v>1.7920688006278319E-2</c:v>
                </c:pt>
                <c:pt idx="9">
                  <c:v>3.0966948874848956E-3</c:v>
                </c:pt>
                <c:pt idx="10">
                  <c:v>4.8159798890165203E-4</c:v>
                </c:pt>
                <c:pt idx="11">
                  <c:v>6.808919930362233E-5</c:v>
                </c:pt>
                <c:pt idx="12">
                  <c:v>8.8243602297494592E-6</c:v>
                </c:pt>
                <c:pt idx="13">
                  <c:v>1.0556650022543426E-6</c:v>
                </c:pt>
                <c:pt idx="14">
                  <c:v>1.1726930082185346E-7</c:v>
                </c:pt>
                <c:pt idx="15">
                  <c:v>1.2158481109209682E-8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48-4557-A982-F37C752C0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845760"/>
        <c:axId val="642844448"/>
      </c:lineChart>
      <c:catAx>
        <c:axId val="642845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numero de repuestos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4417543091261924"/>
              <c:y val="0.87535111959965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4448"/>
        <c:crosses val="autoZero"/>
        <c:auto val="1"/>
        <c:lblAlgn val="ctr"/>
        <c:lblOffset val="100"/>
        <c:noMultiLvlLbl val="0"/>
      </c:catAx>
      <c:valAx>
        <c:axId val="6428444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nivel de confianza [%]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8823532899218693E-2"/>
              <c:y val="0.33351191145108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576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3565340169585952"/>
          <c:y val="0.93001700855455915"/>
          <c:w val="0.59758862391637313"/>
          <c:h val="6.99829914454408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aseline="0"/>
              <a:t>NIVEL DE CONFIANZA VS PROBABILIDAD total DE contar con el repuesto cuando se requiera</a:t>
            </a:r>
            <a:endParaRPr lang="en-US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10351868245179"/>
          <c:y val="0.15757425055394805"/>
          <c:w val="0.8546254478231492"/>
          <c:h val="0.70021330439349949"/>
        </c:manualLayout>
      </c:layout>
      <c:lineChart>
        <c:grouping val="standard"/>
        <c:varyColors val="0"/>
        <c:ser>
          <c:idx val="1"/>
          <c:order val="0"/>
          <c:tx>
            <c:v>Distribución de Poisson</c:v>
          </c:tx>
          <c:spPr>
            <a:ln w="31750" cap="sq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val>
            <c:numRef>
              <c:f>'2'!$G$11:$G$51</c:f>
              <c:numCache>
                <c:formatCode>General</c:formatCode>
                <c:ptCount val="41"/>
                <c:pt idx="0">
                  <c:v>21.114714898794901</c:v>
                </c:pt>
                <c:pt idx="1">
                  <c:v>53.952319509400716</c:v>
                </c:pt>
                <c:pt idx="2">
                  <c:v>79.486840854607848</c:v>
                </c:pt>
                <c:pt idx="3">
                  <c:v>92.723936719963191</c:v>
                </c:pt>
                <c:pt idx="4">
                  <c:v>97.870519592413359</c:v>
                </c:pt>
                <c:pt idx="5">
                  <c:v>99.471312729060259</c:v>
                </c:pt>
                <c:pt idx="6">
                  <c:v>99.886238310079136</c:v>
                </c:pt>
                <c:pt idx="7">
                  <c:v>99.978422919164927</c:v>
                </c:pt>
                <c:pt idx="8">
                  <c:v>99.996343607171198</c:v>
                </c:pt>
                <c:pt idx="9">
                  <c:v>99.999440302058701</c:v>
                </c:pt>
                <c:pt idx="10">
                  <c:v>99.999921900047596</c:v>
                </c:pt>
                <c:pt idx="11">
                  <c:v>99.999989989246899</c:v>
                </c:pt>
                <c:pt idx="12">
                  <c:v>99.999998813607121</c:v>
                </c:pt>
                <c:pt idx="13">
                  <c:v>99.999999869272131</c:v>
                </c:pt>
                <c:pt idx="14">
                  <c:v>99.99999998654144</c:v>
                </c:pt>
                <c:pt idx="15">
                  <c:v>99.999999998699906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E4-4216-9E44-5CE3B851A9CF}"/>
            </c:ext>
          </c:extLst>
        </c:ser>
        <c:ser>
          <c:idx val="2"/>
          <c:order val="1"/>
          <c:tx>
            <c:v>Nivel de confianza</c:v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'2'!$E$11:$E$51</c:f>
              <c:numCache>
                <c:formatCode>General</c:formatCode>
                <c:ptCount val="41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95</c:v>
                </c:pt>
                <c:pt idx="21">
                  <c:v>95</c:v>
                </c:pt>
                <c:pt idx="22">
                  <c:v>95</c:v>
                </c:pt>
                <c:pt idx="23">
                  <c:v>95</c:v>
                </c:pt>
                <c:pt idx="24">
                  <c:v>95</c:v>
                </c:pt>
                <c:pt idx="25">
                  <c:v>95</c:v>
                </c:pt>
                <c:pt idx="26">
                  <c:v>95</c:v>
                </c:pt>
                <c:pt idx="27">
                  <c:v>95</c:v>
                </c:pt>
                <c:pt idx="28">
                  <c:v>95</c:v>
                </c:pt>
                <c:pt idx="29">
                  <c:v>95</c:v>
                </c:pt>
                <c:pt idx="30">
                  <c:v>95</c:v>
                </c:pt>
                <c:pt idx="31">
                  <c:v>95</c:v>
                </c:pt>
                <c:pt idx="32">
                  <c:v>95</c:v>
                </c:pt>
                <c:pt idx="33">
                  <c:v>95</c:v>
                </c:pt>
                <c:pt idx="34">
                  <c:v>95</c:v>
                </c:pt>
                <c:pt idx="35">
                  <c:v>95</c:v>
                </c:pt>
                <c:pt idx="36">
                  <c:v>95</c:v>
                </c:pt>
                <c:pt idx="37">
                  <c:v>95</c:v>
                </c:pt>
                <c:pt idx="38">
                  <c:v>95</c:v>
                </c:pt>
                <c:pt idx="39">
                  <c:v>95</c:v>
                </c:pt>
                <c:pt idx="40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E4-4216-9E44-5CE3B851A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845760"/>
        <c:axId val="642844448"/>
      </c:lineChart>
      <c:catAx>
        <c:axId val="642845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numero de repuestos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4448"/>
        <c:crosses val="autoZero"/>
        <c:auto val="1"/>
        <c:lblAlgn val="ctr"/>
        <c:lblOffset val="100"/>
        <c:noMultiLvlLbl val="0"/>
      </c:catAx>
      <c:valAx>
        <c:axId val="6428444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nivel de confianza [%]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8823532899218693E-2"/>
              <c:y val="0.33351191145108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845760"/>
        <c:crosses val="autoZero"/>
        <c:crossBetween val="between"/>
      </c:valAx>
      <c:spPr>
        <a:solidFill>
          <a:schemeClr val="bg1"/>
        </a:solidFill>
        <a:ln w="1587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4035928492066419"/>
          <c:y val="0.93001703255576829"/>
          <c:w val="0.49093775099036718"/>
          <c:h val="5.2872441417313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COSTO</a:t>
            </a:r>
            <a:r>
              <a:rPr lang="en-US" sz="2000" b="1" baseline="0"/>
              <a:t> TOTAL DE INVENTARIO VS NUMERO DE REPUESTOS</a:t>
            </a:r>
            <a:endParaRPr lang="en-US" sz="2000" b="1"/>
          </a:p>
        </c:rich>
      </c:tx>
      <c:layout>
        <c:manualLayout>
          <c:xMode val="edge"/>
          <c:yMode val="edge"/>
          <c:x val="0.125434863325011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Costo total de inventario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'2'!$B$55:$B$94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'2'!$G$55:$G$94</c:f>
              <c:numCache>
                <c:formatCode>_-"$"\ * #,##0_-;\-"$"\ * #,##0_-;_-"$"\ * "-"??_-;_-@_-</c:formatCode>
                <c:ptCount val="40"/>
                <c:pt idx="0">
                  <c:v>617665.76</c:v>
                </c:pt>
                <c:pt idx="1">
                  <c:v>1235331.52</c:v>
                </c:pt>
                <c:pt idx="2">
                  <c:v>1852997.2799999998</c:v>
                </c:pt>
                <c:pt idx="3">
                  <c:v>2470663.04</c:v>
                </c:pt>
                <c:pt idx="4">
                  <c:v>3088328.8</c:v>
                </c:pt>
                <c:pt idx="5">
                  <c:v>3705994.5599999996</c:v>
                </c:pt>
                <c:pt idx="6">
                  <c:v>4323660.32</c:v>
                </c:pt>
                <c:pt idx="7">
                  <c:v>4941326.08</c:v>
                </c:pt>
                <c:pt idx="8">
                  <c:v>5558991.8399999989</c:v>
                </c:pt>
                <c:pt idx="9">
                  <c:v>6176657.5999999996</c:v>
                </c:pt>
                <c:pt idx="10">
                  <c:v>6794323.3599999994</c:v>
                </c:pt>
                <c:pt idx="11">
                  <c:v>7411989.1199999992</c:v>
                </c:pt>
                <c:pt idx="12">
                  <c:v>8029654.8800000008</c:v>
                </c:pt>
                <c:pt idx="13">
                  <c:v>8647320.6400000006</c:v>
                </c:pt>
                <c:pt idx="14">
                  <c:v>9264986.4000000004</c:v>
                </c:pt>
                <c:pt idx="15">
                  <c:v>9882652.1600000001</c:v>
                </c:pt>
                <c:pt idx="16">
                  <c:v>10500317.920000002</c:v>
                </c:pt>
                <c:pt idx="17">
                  <c:v>11117983.679999998</c:v>
                </c:pt>
                <c:pt idx="18">
                  <c:v>11735649.439999999</c:v>
                </c:pt>
                <c:pt idx="19">
                  <c:v>12353315.199999999</c:v>
                </c:pt>
                <c:pt idx="20">
                  <c:v>12970980.960000001</c:v>
                </c:pt>
                <c:pt idx="21">
                  <c:v>13588646.719999999</c:v>
                </c:pt>
                <c:pt idx="22">
                  <c:v>14206312.479999999</c:v>
                </c:pt>
                <c:pt idx="23">
                  <c:v>14823978.239999998</c:v>
                </c:pt>
                <c:pt idx="24">
                  <c:v>15441644</c:v>
                </c:pt>
                <c:pt idx="25">
                  <c:v>16059309.760000002</c:v>
                </c:pt>
                <c:pt idx="26">
                  <c:v>16676975.52</c:v>
                </c:pt>
                <c:pt idx="27">
                  <c:v>17294641.280000001</c:v>
                </c:pt>
                <c:pt idx="28">
                  <c:v>17912307.039999999</c:v>
                </c:pt>
                <c:pt idx="29">
                  <c:v>18529972.800000001</c:v>
                </c:pt>
                <c:pt idx="30">
                  <c:v>19147638.559999999</c:v>
                </c:pt>
                <c:pt idx="31">
                  <c:v>19765304.32</c:v>
                </c:pt>
                <c:pt idx="32">
                  <c:v>20382970.079999998</c:v>
                </c:pt>
                <c:pt idx="33">
                  <c:v>21000635.840000004</c:v>
                </c:pt>
                <c:pt idx="34">
                  <c:v>21618301.600000001</c:v>
                </c:pt>
                <c:pt idx="35">
                  <c:v>22235967.359999996</c:v>
                </c:pt>
                <c:pt idx="36">
                  <c:v>22853633.120000001</c:v>
                </c:pt>
                <c:pt idx="37">
                  <c:v>23471298.879999999</c:v>
                </c:pt>
                <c:pt idx="38">
                  <c:v>24088964.640000001</c:v>
                </c:pt>
                <c:pt idx="39">
                  <c:v>24706630.399999999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DA-4968-8224-262D8928F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3446024"/>
        <c:axId val="803441432"/>
      </c:barChart>
      <c:catAx>
        <c:axId val="803446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NÚMERO</a:t>
                </a:r>
                <a:r>
                  <a:rPr lang="es-CO" b="1" baseline="0"/>
                  <a:t> DE REPUESTOS EN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441432"/>
        <c:crosses val="autoZero"/>
        <c:auto val="1"/>
        <c:lblAlgn val="ctr"/>
        <c:lblOffset val="100"/>
        <c:noMultiLvlLbl val="0"/>
      </c:catAx>
      <c:valAx>
        <c:axId val="803441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</a:t>
                </a:r>
                <a:r>
                  <a:rPr lang="es-CO" b="1" baseline="0"/>
                  <a:t> TOTAL DE INVENTARIO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446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G"/><Relationship Id="rId3" Type="http://schemas.openxmlformats.org/officeDocument/2006/relationships/image" Target="../media/image1.JP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image" Target="../media/image3.JP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G"/><Relationship Id="rId3" Type="http://schemas.openxmlformats.org/officeDocument/2006/relationships/image" Target="../media/image1.JPG"/><Relationship Id="rId7" Type="http://schemas.openxmlformats.org/officeDocument/2006/relationships/chart" Target="../charts/chart12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Relationship Id="rId9" Type="http://schemas.openxmlformats.org/officeDocument/2006/relationships/image" Target="../media/image3.JP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G"/><Relationship Id="rId3" Type="http://schemas.openxmlformats.org/officeDocument/2006/relationships/image" Target="../media/image1.JPG"/><Relationship Id="rId7" Type="http://schemas.openxmlformats.org/officeDocument/2006/relationships/chart" Target="../charts/chart18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Relationship Id="rId9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6</xdr:row>
      <xdr:rowOff>59531</xdr:rowOff>
    </xdr:from>
    <xdr:to>
      <xdr:col>13</xdr:col>
      <xdr:colOff>1023938</xdr:colOff>
      <xdr:row>24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011623F-30C6-92EE-B3B2-A923E36234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67466</xdr:colOff>
      <xdr:row>25</xdr:row>
      <xdr:rowOff>71438</xdr:rowOff>
    </xdr:from>
    <xdr:to>
      <xdr:col>13</xdr:col>
      <xdr:colOff>1071563</xdr:colOff>
      <xdr:row>50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41C4006-4B45-4D28-AB43-D3342707E9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95248</xdr:colOff>
      <xdr:row>0</xdr:row>
      <xdr:rowOff>35717</xdr:rowOff>
    </xdr:from>
    <xdr:to>
      <xdr:col>13</xdr:col>
      <xdr:colOff>404812</xdr:colOff>
      <xdr:row>0</xdr:row>
      <xdr:rowOff>1178719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00AB5E0-0616-4CBC-8840-D15E8116CD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627"/>
        <a:stretch/>
      </xdr:blipFill>
      <xdr:spPr>
        <a:xfrm>
          <a:off x="11275217" y="35717"/>
          <a:ext cx="3893345" cy="1143002"/>
        </a:xfrm>
        <a:prstGeom prst="rect">
          <a:avLst/>
        </a:prstGeom>
      </xdr:spPr>
    </xdr:pic>
    <xdr:clientData/>
  </xdr:twoCellAnchor>
  <xdr:twoCellAnchor>
    <xdr:from>
      <xdr:col>7</xdr:col>
      <xdr:colOff>154781</xdr:colOff>
      <xdr:row>53</xdr:row>
      <xdr:rowOff>119061</xdr:rowOff>
    </xdr:from>
    <xdr:to>
      <xdr:col>13</xdr:col>
      <xdr:colOff>1059656</xdr:colOff>
      <xdr:row>79</xdr:row>
      <xdr:rowOff>-1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8B3EEC4-FA43-7C33-1F07-8E06F1F83B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83344</xdr:colOff>
      <xdr:row>95</xdr:row>
      <xdr:rowOff>154782</xdr:rowOff>
    </xdr:from>
    <xdr:to>
      <xdr:col>13</xdr:col>
      <xdr:colOff>1071563</xdr:colOff>
      <xdr:row>121</xdr:row>
      <xdr:rowOff>47625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1A67F73-ECAD-6D52-6281-7080B0E610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83344</xdr:colOff>
      <xdr:row>137</xdr:row>
      <xdr:rowOff>83343</xdr:rowOff>
    </xdr:from>
    <xdr:to>
      <xdr:col>6</xdr:col>
      <xdr:colOff>1131095</xdr:colOff>
      <xdr:row>169</xdr:row>
      <xdr:rowOff>107156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4346704-E502-EB15-3383-ED5CDDE95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107157</xdr:colOff>
      <xdr:row>137</xdr:row>
      <xdr:rowOff>83343</xdr:rowOff>
    </xdr:from>
    <xdr:to>
      <xdr:col>13</xdr:col>
      <xdr:colOff>1131094</xdr:colOff>
      <xdr:row>169</xdr:row>
      <xdr:rowOff>95249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3DD7E4D-A0F1-C207-6938-37391184A8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7</xdr:col>
      <xdr:colOff>119063</xdr:colOff>
      <xdr:row>79</xdr:row>
      <xdr:rowOff>130967</xdr:rowOff>
    </xdr:from>
    <xdr:to>
      <xdr:col>13</xdr:col>
      <xdr:colOff>940594</xdr:colOff>
      <xdr:row>82</xdr:row>
      <xdr:rowOff>142874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D4022C23-0D91-FB81-5D93-1D81CCC77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6219" y="18919030"/>
          <a:ext cx="7846218" cy="583407"/>
        </a:xfrm>
        <a:prstGeom prst="rect">
          <a:avLst/>
        </a:prstGeom>
      </xdr:spPr>
    </xdr:pic>
    <xdr:clientData/>
  </xdr:twoCellAnchor>
  <xdr:twoCellAnchor>
    <xdr:from>
      <xdr:col>7</xdr:col>
      <xdr:colOff>166687</xdr:colOff>
      <xdr:row>83</xdr:row>
      <xdr:rowOff>59531</xdr:rowOff>
    </xdr:from>
    <xdr:to>
      <xdr:col>13</xdr:col>
      <xdr:colOff>1059655</xdr:colOff>
      <xdr:row>93</xdr:row>
      <xdr:rowOff>95249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8E6727E-5E28-5184-DB6D-F236D433B460}"/>
            </a:ext>
          </a:extLst>
        </xdr:cNvPr>
        <xdr:cNvSpPr txBox="1"/>
      </xdr:nvSpPr>
      <xdr:spPr>
        <a:xfrm>
          <a:off x="7893843" y="19609594"/>
          <a:ext cx="7798593" cy="1940718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0000"/>
              </a:solidFill>
            </a:rPr>
            <a:t>NOTA</a:t>
          </a:r>
          <a:r>
            <a:rPr lang="es-CO" sz="2000" b="1"/>
            <a:t>:</a:t>
          </a:r>
          <a:r>
            <a:rPr lang="es-CO" sz="2000" b="1" baseline="0"/>
            <a:t> </a:t>
          </a:r>
          <a:r>
            <a:rPr lang="es-CO" sz="2000" b="1"/>
            <a:t>El programa realiza el cálculo con un número hipotetico</a:t>
          </a:r>
          <a:r>
            <a:rPr lang="es-CO" sz="2000" b="1" baseline="0"/>
            <a:t> de 40 repuestos sin embargo toma como referencia el número de piezas reales en funcionamiento para determinar el número de repuestos optimos a almacenar mediante el método de optimización Costo-Riesgo.</a:t>
          </a:r>
          <a:endParaRPr lang="es-CO" sz="2000" b="1"/>
        </a:p>
      </xdr:txBody>
    </xdr:sp>
    <xdr:clientData/>
  </xdr:twoCellAnchor>
  <xdr:twoCellAnchor>
    <xdr:from>
      <xdr:col>7</xdr:col>
      <xdr:colOff>140493</xdr:colOff>
      <xdr:row>125</xdr:row>
      <xdr:rowOff>92869</xdr:rowOff>
    </xdr:from>
    <xdr:to>
      <xdr:col>13</xdr:col>
      <xdr:colOff>1119187</xdr:colOff>
      <xdr:row>135</xdr:row>
      <xdr:rowOff>128587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27839616-1D9D-4902-A05C-1FBF127161A8}"/>
            </a:ext>
          </a:extLst>
        </xdr:cNvPr>
        <xdr:cNvSpPr txBox="1"/>
      </xdr:nvSpPr>
      <xdr:spPr>
        <a:xfrm>
          <a:off x="7867649" y="28763119"/>
          <a:ext cx="7884319" cy="1940718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0000"/>
              </a:solidFill>
            </a:rPr>
            <a:t>NOTA</a:t>
          </a:r>
          <a:r>
            <a:rPr lang="es-CO" sz="2000" b="1"/>
            <a:t>:</a:t>
          </a:r>
          <a:r>
            <a:rPr lang="es-CO" sz="2000" b="1" baseline="0"/>
            <a:t> </a:t>
          </a:r>
          <a:r>
            <a:rPr lang="es-CO" sz="2000" b="1"/>
            <a:t>El programa realiza el cálculo con un número hipotetico</a:t>
          </a:r>
          <a:r>
            <a:rPr lang="es-CO" sz="2000" b="1" baseline="0"/>
            <a:t> de 40 repuestos sin embargo toma como referencia el número de piezas reales en funcionamiento para determinar el número de repuestos optimos a almacenar mediante el método de optimización Costo-Riesgo.</a:t>
          </a:r>
          <a:endParaRPr lang="es-CO" sz="2000" b="1"/>
        </a:p>
      </xdr:txBody>
    </xdr:sp>
    <xdr:clientData/>
  </xdr:twoCellAnchor>
  <xdr:twoCellAnchor editAs="oneCell">
    <xdr:from>
      <xdr:col>7</xdr:col>
      <xdr:colOff>797719</xdr:colOff>
      <xdr:row>122</xdr:row>
      <xdr:rowOff>0</xdr:rowOff>
    </xdr:from>
    <xdr:to>
      <xdr:col>13</xdr:col>
      <xdr:colOff>261937</xdr:colOff>
      <xdr:row>124</xdr:row>
      <xdr:rowOff>119063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89F29237-B084-4079-3EAF-8E822D260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4875" y="28098750"/>
          <a:ext cx="6488905" cy="5000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6</xdr:row>
      <xdr:rowOff>59531</xdr:rowOff>
    </xdr:from>
    <xdr:to>
      <xdr:col>13</xdr:col>
      <xdr:colOff>1023938</xdr:colOff>
      <xdr:row>24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150172-B8C4-4C13-98FF-5F6AAF23D9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67466</xdr:colOff>
      <xdr:row>25</xdr:row>
      <xdr:rowOff>71438</xdr:rowOff>
    </xdr:from>
    <xdr:to>
      <xdr:col>13</xdr:col>
      <xdr:colOff>1071563</xdr:colOff>
      <xdr:row>50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DB0CB17-2658-4DD5-BC04-3F4A889087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95248</xdr:colOff>
      <xdr:row>0</xdr:row>
      <xdr:rowOff>35717</xdr:rowOff>
    </xdr:from>
    <xdr:to>
      <xdr:col>13</xdr:col>
      <xdr:colOff>404812</xdr:colOff>
      <xdr:row>0</xdr:row>
      <xdr:rowOff>1178719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FD6A5D2-7849-41F0-AC1E-7EF2168CB0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627"/>
        <a:stretch/>
      </xdr:blipFill>
      <xdr:spPr>
        <a:xfrm>
          <a:off x="11258548" y="35717"/>
          <a:ext cx="3881439" cy="1143002"/>
        </a:xfrm>
        <a:prstGeom prst="rect">
          <a:avLst/>
        </a:prstGeom>
      </xdr:spPr>
    </xdr:pic>
    <xdr:clientData/>
  </xdr:twoCellAnchor>
  <xdr:twoCellAnchor>
    <xdr:from>
      <xdr:col>7</xdr:col>
      <xdr:colOff>154781</xdr:colOff>
      <xdr:row>53</xdr:row>
      <xdr:rowOff>119061</xdr:rowOff>
    </xdr:from>
    <xdr:to>
      <xdr:col>13</xdr:col>
      <xdr:colOff>1059656</xdr:colOff>
      <xdr:row>79</xdr:row>
      <xdr:rowOff>-1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274E8F8-30A9-4BFC-B0DC-CE433C545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83344</xdr:colOff>
      <xdr:row>95</xdr:row>
      <xdr:rowOff>154782</xdr:rowOff>
    </xdr:from>
    <xdr:to>
      <xdr:col>13</xdr:col>
      <xdr:colOff>1071563</xdr:colOff>
      <xdr:row>121</xdr:row>
      <xdr:rowOff>47625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933EB1C-C104-4D84-893A-0AE7DF04FB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83344</xdr:colOff>
      <xdr:row>137</xdr:row>
      <xdr:rowOff>83343</xdr:rowOff>
    </xdr:from>
    <xdr:to>
      <xdr:col>6</xdr:col>
      <xdr:colOff>1131095</xdr:colOff>
      <xdr:row>169</xdr:row>
      <xdr:rowOff>107156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09E46B6-FC9B-49A5-91A6-BD581CCDEB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107157</xdr:colOff>
      <xdr:row>137</xdr:row>
      <xdr:rowOff>83343</xdr:rowOff>
    </xdr:from>
    <xdr:to>
      <xdr:col>13</xdr:col>
      <xdr:colOff>1131094</xdr:colOff>
      <xdr:row>169</xdr:row>
      <xdr:rowOff>95249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EEB51FD-4EC8-4113-8216-8D4A8A3B64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7</xdr:col>
      <xdr:colOff>119063</xdr:colOff>
      <xdr:row>79</xdr:row>
      <xdr:rowOff>130967</xdr:rowOff>
    </xdr:from>
    <xdr:to>
      <xdr:col>13</xdr:col>
      <xdr:colOff>940594</xdr:colOff>
      <xdr:row>82</xdr:row>
      <xdr:rowOff>142874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58A68F4-6B91-46DC-9F52-83535DC8B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3838" y="19123817"/>
          <a:ext cx="7831931" cy="583407"/>
        </a:xfrm>
        <a:prstGeom prst="rect">
          <a:avLst/>
        </a:prstGeom>
      </xdr:spPr>
    </xdr:pic>
    <xdr:clientData/>
  </xdr:twoCellAnchor>
  <xdr:twoCellAnchor>
    <xdr:from>
      <xdr:col>7</xdr:col>
      <xdr:colOff>166687</xdr:colOff>
      <xdr:row>83</xdr:row>
      <xdr:rowOff>59531</xdr:rowOff>
    </xdr:from>
    <xdr:to>
      <xdr:col>13</xdr:col>
      <xdr:colOff>1059655</xdr:colOff>
      <xdr:row>93</xdr:row>
      <xdr:rowOff>95249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A764317-3563-4281-B7D1-ABC9E1ABCFEF}"/>
            </a:ext>
          </a:extLst>
        </xdr:cNvPr>
        <xdr:cNvSpPr txBox="1"/>
      </xdr:nvSpPr>
      <xdr:spPr>
        <a:xfrm>
          <a:off x="7891462" y="19814381"/>
          <a:ext cx="7903368" cy="1940718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0000"/>
              </a:solidFill>
            </a:rPr>
            <a:t>NOTA</a:t>
          </a:r>
          <a:r>
            <a:rPr lang="es-CO" sz="2000" b="1"/>
            <a:t>:</a:t>
          </a:r>
          <a:r>
            <a:rPr lang="es-CO" sz="2000" b="1" baseline="0"/>
            <a:t> </a:t>
          </a:r>
          <a:r>
            <a:rPr lang="es-CO" sz="2000" b="1"/>
            <a:t>El programa realiza el cálculo con un número hipotetico</a:t>
          </a:r>
          <a:r>
            <a:rPr lang="es-CO" sz="2000" b="1" baseline="0"/>
            <a:t> de 40 repuestos sin embargo toma como referencia el número de piezas reales en funcionamiento para determinar el número de repuestos optimos a almacenar mediante el método de optimización Costo-Riesgo.</a:t>
          </a:r>
          <a:endParaRPr lang="es-CO" sz="2000" b="1"/>
        </a:p>
      </xdr:txBody>
    </xdr:sp>
    <xdr:clientData/>
  </xdr:twoCellAnchor>
  <xdr:twoCellAnchor>
    <xdr:from>
      <xdr:col>7</xdr:col>
      <xdr:colOff>140493</xdr:colOff>
      <xdr:row>125</xdr:row>
      <xdr:rowOff>92869</xdr:rowOff>
    </xdr:from>
    <xdr:to>
      <xdr:col>13</xdr:col>
      <xdr:colOff>1119187</xdr:colOff>
      <xdr:row>135</xdr:row>
      <xdr:rowOff>128587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6F7B8E63-2E6A-483E-A9F8-4EF5F00F4D4E}"/>
            </a:ext>
          </a:extLst>
        </xdr:cNvPr>
        <xdr:cNvSpPr txBox="1"/>
      </xdr:nvSpPr>
      <xdr:spPr>
        <a:xfrm>
          <a:off x="7865268" y="29067919"/>
          <a:ext cx="7989094" cy="1940718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0000"/>
              </a:solidFill>
            </a:rPr>
            <a:t>NOTA</a:t>
          </a:r>
          <a:r>
            <a:rPr lang="es-CO" sz="2000" b="1"/>
            <a:t>:</a:t>
          </a:r>
          <a:r>
            <a:rPr lang="es-CO" sz="2000" b="1" baseline="0"/>
            <a:t> </a:t>
          </a:r>
          <a:r>
            <a:rPr lang="es-CO" sz="2000" b="1"/>
            <a:t>El programa realiza el cálculo con un número hipotetico</a:t>
          </a:r>
          <a:r>
            <a:rPr lang="es-CO" sz="2000" b="1" baseline="0"/>
            <a:t> de 40 repuestos sin embargo toma como referencia el número de piezas reales en funcionamiento para determinar el número de repuestos optimos a almacenar mediante el método de optimización Costo-Riesgo.</a:t>
          </a:r>
          <a:endParaRPr lang="es-CO" sz="2000" b="1"/>
        </a:p>
      </xdr:txBody>
    </xdr:sp>
    <xdr:clientData/>
  </xdr:twoCellAnchor>
  <xdr:twoCellAnchor editAs="oneCell">
    <xdr:from>
      <xdr:col>7</xdr:col>
      <xdr:colOff>797719</xdr:colOff>
      <xdr:row>122</xdr:row>
      <xdr:rowOff>0</xdr:rowOff>
    </xdr:from>
    <xdr:to>
      <xdr:col>13</xdr:col>
      <xdr:colOff>261937</xdr:colOff>
      <xdr:row>124</xdr:row>
      <xdr:rowOff>119063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5F1897CA-4025-47A9-9EC7-BC69E1977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2494" y="28403550"/>
          <a:ext cx="6474618" cy="500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6</xdr:row>
      <xdr:rowOff>59531</xdr:rowOff>
    </xdr:from>
    <xdr:to>
      <xdr:col>13</xdr:col>
      <xdr:colOff>1023938</xdr:colOff>
      <xdr:row>24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F6FE6E-FA7E-4B23-B26D-510314538D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67466</xdr:colOff>
      <xdr:row>25</xdr:row>
      <xdr:rowOff>71438</xdr:rowOff>
    </xdr:from>
    <xdr:to>
      <xdr:col>13</xdr:col>
      <xdr:colOff>1071563</xdr:colOff>
      <xdr:row>50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754F94C-3F85-4824-B035-61D448A3C6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95248</xdr:colOff>
      <xdr:row>0</xdr:row>
      <xdr:rowOff>35717</xdr:rowOff>
    </xdr:from>
    <xdr:to>
      <xdr:col>13</xdr:col>
      <xdr:colOff>404812</xdr:colOff>
      <xdr:row>0</xdr:row>
      <xdr:rowOff>1178719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3D2D0E1-F5E3-41C0-BB44-416DFD457D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627"/>
        <a:stretch/>
      </xdr:blipFill>
      <xdr:spPr>
        <a:xfrm>
          <a:off x="11258548" y="35717"/>
          <a:ext cx="3881439" cy="1143002"/>
        </a:xfrm>
        <a:prstGeom prst="rect">
          <a:avLst/>
        </a:prstGeom>
      </xdr:spPr>
    </xdr:pic>
    <xdr:clientData/>
  </xdr:twoCellAnchor>
  <xdr:twoCellAnchor>
    <xdr:from>
      <xdr:col>7</xdr:col>
      <xdr:colOff>154781</xdr:colOff>
      <xdr:row>53</xdr:row>
      <xdr:rowOff>119061</xdr:rowOff>
    </xdr:from>
    <xdr:to>
      <xdr:col>13</xdr:col>
      <xdr:colOff>1059656</xdr:colOff>
      <xdr:row>79</xdr:row>
      <xdr:rowOff>-1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DB1C9A8-0B00-44E5-87A7-F8356D12C0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83344</xdr:colOff>
      <xdr:row>95</xdr:row>
      <xdr:rowOff>154782</xdr:rowOff>
    </xdr:from>
    <xdr:to>
      <xdr:col>13</xdr:col>
      <xdr:colOff>1071563</xdr:colOff>
      <xdr:row>121</xdr:row>
      <xdr:rowOff>47625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D86355E-4A71-41C0-946D-82AEED580C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83344</xdr:colOff>
      <xdr:row>137</xdr:row>
      <xdr:rowOff>83343</xdr:rowOff>
    </xdr:from>
    <xdr:to>
      <xdr:col>6</xdr:col>
      <xdr:colOff>1131095</xdr:colOff>
      <xdr:row>169</xdr:row>
      <xdr:rowOff>107156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CAD5E18-E042-47FF-B451-3252EA621E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107157</xdr:colOff>
      <xdr:row>137</xdr:row>
      <xdr:rowOff>83343</xdr:rowOff>
    </xdr:from>
    <xdr:to>
      <xdr:col>13</xdr:col>
      <xdr:colOff>1131094</xdr:colOff>
      <xdr:row>169</xdr:row>
      <xdr:rowOff>95249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384C0933-40E8-4244-A8B3-6BADB314A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7</xdr:col>
      <xdr:colOff>119063</xdr:colOff>
      <xdr:row>79</xdr:row>
      <xdr:rowOff>130967</xdr:rowOff>
    </xdr:from>
    <xdr:to>
      <xdr:col>13</xdr:col>
      <xdr:colOff>940594</xdr:colOff>
      <xdr:row>82</xdr:row>
      <xdr:rowOff>142874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7D0BB38-AF62-414C-90B2-9B56FF85B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3838" y="19123817"/>
          <a:ext cx="7831931" cy="583407"/>
        </a:xfrm>
        <a:prstGeom prst="rect">
          <a:avLst/>
        </a:prstGeom>
      </xdr:spPr>
    </xdr:pic>
    <xdr:clientData/>
  </xdr:twoCellAnchor>
  <xdr:twoCellAnchor>
    <xdr:from>
      <xdr:col>7</xdr:col>
      <xdr:colOff>166687</xdr:colOff>
      <xdr:row>83</xdr:row>
      <xdr:rowOff>59531</xdr:rowOff>
    </xdr:from>
    <xdr:to>
      <xdr:col>13</xdr:col>
      <xdr:colOff>1059655</xdr:colOff>
      <xdr:row>93</xdr:row>
      <xdr:rowOff>95249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10A9E1A3-FCC1-4470-B07D-5BC50DE9BE48}"/>
            </a:ext>
          </a:extLst>
        </xdr:cNvPr>
        <xdr:cNvSpPr txBox="1"/>
      </xdr:nvSpPr>
      <xdr:spPr>
        <a:xfrm>
          <a:off x="7891462" y="19814381"/>
          <a:ext cx="7903368" cy="1940718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0000"/>
              </a:solidFill>
            </a:rPr>
            <a:t>NOTA</a:t>
          </a:r>
          <a:r>
            <a:rPr lang="es-CO" sz="2000" b="1"/>
            <a:t>:</a:t>
          </a:r>
          <a:r>
            <a:rPr lang="es-CO" sz="2000" b="1" baseline="0"/>
            <a:t> </a:t>
          </a:r>
          <a:r>
            <a:rPr lang="es-CO" sz="2000" b="1"/>
            <a:t>El programa realiza el cálculo con un número hipotetico</a:t>
          </a:r>
          <a:r>
            <a:rPr lang="es-CO" sz="2000" b="1" baseline="0"/>
            <a:t> de 40 repuestos sin embargo toma como referencia el número de piezas reales en funcionamiento para determinar el número de repuestos optimos a almacenar mediante el método de optimización Costo-Riesgo.</a:t>
          </a:r>
          <a:endParaRPr lang="es-CO" sz="2000" b="1"/>
        </a:p>
      </xdr:txBody>
    </xdr:sp>
    <xdr:clientData/>
  </xdr:twoCellAnchor>
  <xdr:twoCellAnchor>
    <xdr:from>
      <xdr:col>7</xdr:col>
      <xdr:colOff>140493</xdr:colOff>
      <xdr:row>125</xdr:row>
      <xdr:rowOff>92869</xdr:rowOff>
    </xdr:from>
    <xdr:to>
      <xdr:col>13</xdr:col>
      <xdr:colOff>1119187</xdr:colOff>
      <xdr:row>135</xdr:row>
      <xdr:rowOff>128587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C321695-0932-4330-A3C8-ACC30AA8E1AE}"/>
            </a:ext>
          </a:extLst>
        </xdr:cNvPr>
        <xdr:cNvSpPr txBox="1"/>
      </xdr:nvSpPr>
      <xdr:spPr>
        <a:xfrm>
          <a:off x="7865268" y="29067919"/>
          <a:ext cx="7989094" cy="1940718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0000"/>
              </a:solidFill>
            </a:rPr>
            <a:t>NOTA</a:t>
          </a:r>
          <a:r>
            <a:rPr lang="es-CO" sz="2000" b="1"/>
            <a:t>:</a:t>
          </a:r>
          <a:r>
            <a:rPr lang="es-CO" sz="2000" b="1" baseline="0"/>
            <a:t> </a:t>
          </a:r>
          <a:r>
            <a:rPr lang="es-CO" sz="2000" b="1"/>
            <a:t>El programa realiza el cálculo con un número hipotetico</a:t>
          </a:r>
          <a:r>
            <a:rPr lang="es-CO" sz="2000" b="1" baseline="0"/>
            <a:t> de 40 repuestos sin embargo toma como referencia el número de piezas reales en funcionamiento para determinar el número de repuestos optimos a almacenar mediante el método de optimización Costo-Riesgo.</a:t>
          </a:r>
          <a:endParaRPr lang="es-CO" sz="2000" b="1"/>
        </a:p>
      </xdr:txBody>
    </xdr:sp>
    <xdr:clientData/>
  </xdr:twoCellAnchor>
  <xdr:twoCellAnchor editAs="oneCell">
    <xdr:from>
      <xdr:col>7</xdr:col>
      <xdr:colOff>797719</xdr:colOff>
      <xdr:row>122</xdr:row>
      <xdr:rowOff>0</xdr:rowOff>
    </xdr:from>
    <xdr:to>
      <xdr:col>13</xdr:col>
      <xdr:colOff>261937</xdr:colOff>
      <xdr:row>124</xdr:row>
      <xdr:rowOff>119063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B3582E16-1C25-4A2C-B645-289242A03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2494" y="28403550"/>
          <a:ext cx="6474618" cy="50006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E0EB048-5D98-4BD7-AE5F-114F2B9FED5B}" name="NCFA" displayName="NCFA" ref="B10:G51" totalsRowShown="0" headerRowDxfId="65" dataDxfId="64">
  <autoFilter ref="B10:G51" xr:uid="{AE0EB048-5D98-4BD7-AE5F-114F2B9FED5B}"/>
  <tableColumns count="6">
    <tableColumn id="1" xr3:uid="{B26167F4-9DE3-4C30-9FC4-DC7AC07B426D}" name="n " dataDxfId="63"/>
    <tableColumn id="2" xr3:uid="{57FDBBF3-CB1A-42B9-909F-E863BA910902}" name="k" dataDxfId="62">
      <calculatedColumnFormula>C10+1</calculatedColumnFormula>
    </tableColumn>
    <tableColumn id="3" xr3:uid="{C0E5F24B-049A-4483-ABC7-F3DC443D81E6}" name="n-k" dataDxfId="61">
      <calculatedColumnFormula>NCFA[[#This Row],[n ]]-NCFA[[#This Row],[k]]</calculatedColumnFormula>
    </tableColumn>
    <tableColumn id="8" xr3:uid="{5333A0BF-E338-446F-B704-289150AC3092}" name="NC [%]" dataDxfId="60"/>
    <tableColumn id="5" xr3:uid="{925B3D7D-7387-47C1-9506-A2B9242A59D4}" name="Poisson individual [%]" dataDxfId="59">
      <calculatedColumnFormula>IF(NCFA[[#This Row],[n-k]]&lt;0,0,((_xlfn.POISSON.DIST(NCFA[[#This Row],[k]],$G$7,FALSE))*100))</calculatedColumnFormula>
    </tableColumn>
    <tableColumn id="7" xr3:uid="{C4258F61-31E1-444E-9F34-1E8001808658}" name="Poisson acumulado [%]" dataDxfId="58">
      <calculatedColumnFormula>IF(NCFA[[#This Row],[n-k]]&lt;0,100,((_xlfn.POISSON.DIST(NCFA[[#This Row],[k]],$G$7,TRUE))*100))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AAA01E2-00D8-4DE5-8A29-5B0C83C7B20B}" name="Tabla9" displayName="Tabla9" ref="B54:G94" totalsRowShown="0" headerRowDxfId="57" dataDxfId="56">
  <autoFilter ref="B54:G94" xr:uid="{5AAA01E2-00D8-4DE5-8A29-5B0C83C7B20B}"/>
  <tableColumns count="6">
    <tableColumn id="1" xr3:uid="{5EB9A178-6CE5-4B5C-823E-0E2B3EF21BB1}" name="CANTIDAD DE REPUESTOS" dataDxfId="55">
      <calculatedColumnFormula>B54+1</calculatedColumnFormula>
    </tableColumn>
    <tableColumn id="2" xr3:uid="{F94E6351-66F9-4E6D-8D97-8EF77BDBCE8D}" name="COSTO DE COMPRA REPUESTOS" dataDxfId="54">
      <calculatedColumnFormula>IF(Tabla9[[#This Row],[CANTIDAD DE REPUESTOS]]&lt;=B11,Tabla9[[#This Row],[CANTIDAD DE REPUESTOS]]*$C$53,Tabla9[[#This Row],[CANTIDAD DE REPUESTOS]]*$C$53)</calculatedColumnFormula>
    </tableColumn>
    <tableColumn id="3" xr3:uid="{DB293AC2-A66C-4D23-9A1F-1CD1E972068A}" name="COSTO DE ALMACENAMIENTO" dataDxfId="53">
      <calculatedColumnFormula>IF(Tabla9[[#This Row],[CANTIDAD DE REPUESTOS]]&lt;=B11,$C$53*$F$53*Tabla9[[#This Row],[CANTIDAD DE REPUESTOS]],$C$53*$F$53*Tabla9[[#This Row],[CANTIDAD DE REPUESTOS]])</calculatedColumnFormula>
    </tableColumn>
    <tableColumn id="4" xr3:uid="{3D87FFF6-5347-4F04-AE51-97CE13BCC229}" name="COSTO DE TRANSPORTE" dataDxfId="52">
      <calculatedColumnFormula>IF(Tabla9[[#This Row],[CANTIDAD DE REPUESTOS]]&lt;=B11,$C$53*$N$53*Tabla9[[#This Row],[CANTIDAD DE REPUESTOS]],$C$53*$N$53*Tabla9[[#This Row],[CANTIDAD DE REPUESTOS]])</calculatedColumnFormula>
    </tableColumn>
    <tableColumn id="5" xr3:uid="{E45D781E-769E-4F43-87BE-4E42786BA6AE}" name="COSTOS DE IMPUESTOS Y OBSOLECENCIA" dataDxfId="51">
      <calculatedColumnFormula>IF(Tabla9[[#This Row],[CANTIDAD DE REPUESTOS]]&lt;=B11,Tabla9[[#This Row],[CANTIDAD DE REPUESTOS]]*($C$53)*($H$53+$J$53+$L$53),Tabla9[[#This Row],[CANTIDAD DE REPUESTOS]]*($C$53)*($H$53+$J$53+$L$53))</calculatedColumnFormula>
    </tableColumn>
    <tableColumn id="6" xr3:uid="{225F75F5-A0EF-4164-9F8E-0653CCA5FC0E}" name="COSTO TOTAL DE INVENTARIO" dataDxfId="50">
      <calculatedColumnFormula>Tabla9[[#This Row],[COSTO DE COMPRA REPUESTOS]]+Tabla9[[#This Row],[COSTO DE ALMACENAMIENTO]]+Tabla9[[#This Row],[COSTO DE TRANSPORTE]]+Tabla9[[#This Row],[COSTOS DE IMPUESTOS Y OBSOLECENCIA]]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D60154C-6709-416E-A84B-6BAA39C10A10}" name="Tabla4" displayName="Tabla4" ref="E96:G136" totalsRowShown="0" headerRowBorderDxfId="49" tableBorderDxfId="48" totalsRowBorderDxfId="47">
  <autoFilter ref="E96:G136" xr:uid="{5D60154C-6709-416E-A84B-6BAA39C10A10}"/>
  <tableColumns count="3">
    <tableColumn id="1" xr3:uid="{C44914F5-F234-45C1-8143-B3C5DE4B1110}" name="CANTIDAD DE REPUESTOS" dataDxfId="46">
      <calculatedColumnFormula>E96+1</calculatedColumnFormula>
    </tableColumn>
    <tableColumn id="2" xr3:uid="{3A21DDBA-7124-41D1-B783-A61532E5AAC4}" name="PROBABILIDAD DE NO PODER ATENDER LAS FALLAS EN EL PERIODO DE ANALISIS" dataDxfId="45">
      <calculatedColumnFormula>IF(E97&lt;=B11,100-G11,100-G11)</calculatedColumnFormula>
    </tableColumn>
    <tableColumn id="3" xr3:uid="{6F1B6C1B-95D1-4B4C-847F-142F211AFC60}" name="RIESGO TOTAL" dataDxfId="44">
      <calculatedColumnFormula>IF(E97&lt;=B11,(F97/100)*($D$115+$D$125+$D$133+$D$135),(F97/100)*($D$115+$D$125+$D$133+$D$135))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DD2A71-03EB-4082-8979-608AF4FE95A0}" name="NCFA2" displayName="NCFA2" ref="B10:G51" totalsRowShown="0" headerRowDxfId="43" dataDxfId="42">
  <autoFilter ref="B10:G51" xr:uid="{AE0EB048-5D98-4BD7-AE5F-114F2B9FED5B}"/>
  <tableColumns count="6">
    <tableColumn id="1" xr3:uid="{0BE9A456-E9FC-4C8A-B675-C7A71892BFDE}" name="n " dataDxfId="41"/>
    <tableColumn id="2" xr3:uid="{333E7EA2-52EF-484B-894E-67FC549FCCD1}" name="k" dataDxfId="40">
      <calculatedColumnFormula>C10+1</calculatedColumnFormula>
    </tableColumn>
    <tableColumn id="3" xr3:uid="{FE33704E-439B-46F8-AA1B-29C1EEC271A0}" name="n-k" dataDxfId="39">
      <calculatedColumnFormula>NCFA2[[#This Row],[n ]]-NCFA2[[#This Row],[k]]</calculatedColumnFormula>
    </tableColumn>
    <tableColumn id="8" xr3:uid="{07EFD5DF-8AFF-48CB-9042-4406A89546D4}" name="NC [%]" dataDxfId="38"/>
    <tableColumn id="5" xr3:uid="{A989A077-B19A-47AF-828B-DE44E2206F67}" name="Poisson individual [%]" dataDxfId="37">
      <calculatedColumnFormula>IF(NCFA2[[#This Row],[n-k]]&lt;0,0,((_xlfn.POISSON.DIST(NCFA2[[#This Row],[k]],$G$7,FALSE))*100))</calculatedColumnFormula>
    </tableColumn>
    <tableColumn id="7" xr3:uid="{87C96BF6-516A-44AB-B889-433ED582CFD7}" name="Poisson acumulado [%]" dataDxfId="36">
      <calculatedColumnFormula>IF(NCFA2[[#This Row],[n-k]]&lt;0,100,((_xlfn.POISSON.DIST(NCFA2[[#This Row],[k]],$G$7,TRUE))*100))</calculatedColumnFormula>
    </tableColumn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5F8B824-9038-4CB8-8C3F-5035C3C5AFE8}" name="Tabla94" displayName="Tabla94" ref="B54:G94" totalsRowShown="0" headerRowDxfId="35" dataDxfId="34">
  <autoFilter ref="B54:G94" xr:uid="{5AAA01E2-00D8-4DE5-8A29-5B0C83C7B20B}"/>
  <tableColumns count="6">
    <tableColumn id="1" xr3:uid="{F2BA8F29-8447-44E3-870A-BE18DC946C0D}" name="CANTIDAD DE REPUESTOS" dataDxfId="33">
      <calculatedColumnFormula>B54+1</calculatedColumnFormula>
    </tableColumn>
    <tableColumn id="2" xr3:uid="{69EF74E7-81EF-4A89-8443-79EEB7A85009}" name="COSTO DE COMPRA REPUESTOS" dataDxfId="32">
      <calculatedColumnFormula>IF(Tabla94[[#This Row],[CANTIDAD DE REPUESTOS]]&lt;=B11,Tabla94[[#This Row],[CANTIDAD DE REPUESTOS]]*$C$53,Tabla94[[#This Row],[CANTIDAD DE REPUESTOS]]*$C$53)</calculatedColumnFormula>
    </tableColumn>
    <tableColumn id="3" xr3:uid="{89465E89-8201-4D05-821C-A08587C8997F}" name="COSTO DE ALMACENAMIENTO" dataDxfId="31">
      <calculatedColumnFormula>IF(Tabla94[[#This Row],[CANTIDAD DE REPUESTOS]]&lt;=B11,$C$53*$F$53*Tabla94[[#This Row],[CANTIDAD DE REPUESTOS]],$C$53*$F$53*Tabla94[[#This Row],[CANTIDAD DE REPUESTOS]])</calculatedColumnFormula>
    </tableColumn>
    <tableColumn id="4" xr3:uid="{C930E28D-32CA-4E6D-9B3D-10E344F50F32}" name="COSTO DE TRANSPORTE" dataDxfId="30">
      <calculatedColumnFormula>IF(Tabla94[[#This Row],[CANTIDAD DE REPUESTOS]]&lt;=B11,$C$53*$N$53*Tabla94[[#This Row],[CANTIDAD DE REPUESTOS]],$C$53*$N$53*Tabla94[[#This Row],[CANTIDAD DE REPUESTOS]])</calculatedColumnFormula>
    </tableColumn>
    <tableColumn id="5" xr3:uid="{56A911EF-77FB-4546-BB04-6AC2813008F4}" name="COSTOS DE IMPUESTOS Y OBSOLECENCIA" dataDxfId="29">
      <calculatedColumnFormula>IF(Tabla94[[#This Row],[CANTIDAD DE REPUESTOS]]&lt;=B11,Tabla94[[#This Row],[CANTIDAD DE REPUESTOS]]*($C$53)*($H$53+$J$53+$L$53),Tabla94[[#This Row],[CANTIDAD DE REPUESTOS]]*($C$53)*($H$53+$J$53+$L$53))</calculatedColumnFormula>
    </tableColumn>
    <tableColumn id="6" xr3:uid="{31D236C6-7B63-4C96-B29C-D5B5BBF060E7}" name="COSTO TOTAL DE INVENTARIO" dataDxfId="28">
      <calculatedColumnFormula>Tabla94[[#This Row],[COSTO DE COMPRA REPUESTOS]]+Tabla94[[#This Row],[COSTO DE ALMACENAMIENTO]]+Tabla94[[#This Row],[COSTO DE TRANSPORTE]]+Tabla94[[#This Row],[COSTOS DE IMPUESTOS Y OBSOLECENCIA]]</calculatedColumnFormula>
    </tableColumn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B7E5220-2776-4347-8DC6-750A5A422182}" name="Tabla46" displayName="Tabla46" ref="E96:G136" totalsRowShown="0" headerRowBorderDxfId="27" tableBorderDxfId="26" totalsRowBorderDxfId="25">
  <autoFilter ref="E96:G136" xr:uid="{5D60154C-6709-416E-A84B-6BAA39C10A10}"/>
  <tableColumns count="3">
    <tableColumn id="1" xr3:uid="{88D20C9D-F148-401B-9AAA-2F07F46DB0EC}" name="CANTIDAD DE REPUESTOS" dataDxfId="24">
      <calculatedColumnFormula>E96+1</calculatedColumnFormula>
    </tableColumn>
    <tableColumn id="2" xr3:uid="{8BD2DA67-DDF7-47F6-82A4-1C79566C4C3A}" name="PROBABILIDAD DE NO PODER ATENDER LAS FALLAS EN EL PERIODO DE ANALISIS" dataDxfId="23">
      <calculatedColumnFormula>IF(E97&lt;=B11,100-G11,100-G11)</calculatedColumnFormula>
    </tableColumn>
    <tableColumn id="3" xr3:uid="{B07B7FB6-C8EF-4811-8B00-5C5122496780}" name="RIESGO TOTAL" dataDxfId="22">
      <calculatedColumnFormula>IF(E97&lt;=B11,(F97/100)*($D$115+$D$125+$D$133+$D$135),(F97/100)*($D$115+$D$125+$D$133+$D$135))</calculatedColumnFormula>
    </tableColumn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0C51258-1B1C-4A0E-8D79-98B2787E28B8}" name="NCFA27" displayName="NCFA27" ref="B10:G51" totalsRowShown="0" headerRowDxfId="21" dataDxfId="20">
  <autoFilter ref="B10:G51" xr:uid="{AE0EB048-5D98-4BD7-AE5F-114F2B9FED5B}"/>
  <tableColumns count="6">
    <tableColumn id="1" xr3:uid="{D7D49518-2035-40C1-81EA-4E08A1280AEB}" name="n " dataDxfId="19"/>
    <tableColumn id="2" xr3:uid="{7A21D93E-9F4C-4BFA-876F-BE8E50BD9212}" name="k" dataDxfId="18">
      <calculatedColumnFormula>C10+1</calculatedColumnFormula>
    </tableColumn>
    <tableColumn id="3" xr3:uid="{4479FE16-56C9-41B8-8A68-9E7CB44BB0F7}" name="n-k" dataDxfId="17">
      <calculatedColumnFormula>NCFA27[[#This Row],[n ]]-NCFA27[[#This Row],[k]]</calculatedColumnFormula>
    </tableColumn>
    <tableColumn id="8" xr3:uid="{E5D9AE1E-D0ED-47E7-841E-A55FB636D45F}" name="NC [%]" dataDxfId="16"/>
    <tableColumn id="5" xr3:uid="{F27D017C-65D4-4241-B82D-EC4C99795B33}" name="Poisson individual [%]" dataDxfId="15">
      <calculatedColumnFormula>IF(NCFA27[[#This Row],[n-k]]&lt;0,0,((_xlfn.POISSON.DIST(NCFA27[[#This Row],[k]],$G$7,FALSE))*100))</calculatedColumnFormula>
    </tableColumn>
    <tableColumn id="7" xr3:uid="{A0C6D87A-F5A3-441F-B9F9-3619DC2A2C63}" name="Poisson acumulado [%]" dataDxfId="14">
      <calculatedColumnFormula>IF(NCFA27[[#This Row],[n-k]]&lt;0,100,((_xlfn.POISSON.DIST(NCFA27[[#This Row],[k]],$G$7,TRUE))*100))</calculatedColumnFormula>
    </tableColumn>
  </tableColumns>
  <tableStyleInfo name="TableStyleLight8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C4FEE7C-27CC-4B7A-AAA8-9D93865B2EB0}" name="Tabla948" displayName="Tabla948" ref="B54:G94" totalsRowShown="0" headerRowDxfId="13" dataDxfId="12">
  <autoFilter ref="B54:G94" xr:uid="{5AAA01E2-00D8-4DE5-8A29-5B0C83C7B20B}"/>
  <tableColumns count="6">
    <tableColumn id="1" xr3:uid="{43744B11-BFE9-4F99-8B29-CDDF06E34ED3}" name="CANTIDAD DE REPUESTOS" dataDxfId="11">
      <calculatedColumnFormula>B54+1</calculatedColumnFormula>
    </tableColumn>
    <tableColumn id="2" xr3:uid="{28450FE5-6C10-4876-8EC5-6C32AE61C850}" name="COSTO DE COMPRA REPUESTOS" dataDxfId="10">
      <calculatedColumnFormula>IF(Tabla948[[#This Row],[CANTIDAD DE REPUESTOS]]&lt;=B11,Tabla948[[#This Row],[CANTIDAD DE REPUESTOS]]*$C$53,Tabla948[[#This Row],[CANTIDAD DE REPUESTOS]]*$C$53)</calculatedColumnFormula>
    </tableColumn>
    <tableColumn id="3" xr3:uid="{9773AAAF-3C91-4484-9033-26DA0707EC84}" name="COSTO DE ALMACENAMIENTO" dataDxfId="9">
      <calculatedColumnFormula>IF(Tabla948[[#This Row],[CANTIDAD DE REPUESTOS]]&lt;=B11,$C$53*$F$53*Tabla948[[#This Row],[CANTIDAD DE REPUESTOS]],$C$53*$F$53*Tabla948[[#This Row],[CANTIDAD DE REPUESTOS]])</calculatedColumnFormula>
    </tableColumn>
    <tableColumn id="4" xr3:uid="{D2245AEE-9941-44DF-A4EF-8F8E361B253E}" name="COSTO DE TRANSPORTE" dataDxfId="8">
      <calculatedColumnFormula>IF(Tabla948[[#This Row],[CANTIDAD DE REPUESTOS]]&lt;=B11,$C$53*$N$53*Tabla948[[#This Row],[CANTIDAD DE REPUESTOS]],$C$53*$N$53*Tabla948[[#This Row],[CANTIDAD DE REPUESTOS]])</calculatedColumnFormula>
    </tableColumn>
    <tableColumn id="5" xr3:uid="{27458C11-9DCA-41F5-9C6F-A01F53EBDCD3}" name="COSTOS DE IMPUESTOS Y OBSOLECENCIA" dataDxfId="7">
      <calculatedColumnFormula>IF(Tabla948[[#This Row],[CANTIDAD DE REPUESTOS]]&lt;=B11,Tabla948[[#This Row],[CANTIDAD DE REPUESTOS]]*($C$53)*($H$53+$J$53+$L$53),Tabla948[[#This Row],[CANTIDAD DE REPUESTOS]]*($C$53)*($H$53+$J$53+$L$53))</calculatedColumnFormula>
    </tableColumn>
    <tableColumn id="6" xr3:uid="{46438A72-D2A4-451B-8F75-CE60C447F45A}" name="COSTO TOTAL DE INVENTARIO" dataDxfId="6">
      <calculatedColumnFormula>Tabla948[[#This Row],[COSTO DE COMPRA REPUESTOS]]+Tabla948[[#This Row],[COSTO DE ALMACENAMIENTO]]+Tabla948[[#This Row],[COSTO DE TRANSPORTE]]+Tabla948[[#This Row],[COSTOS DE IMPUESTOS Y OBSOLECENCIA]]</calculatedColumnFormula>
    </tableColumn>
  </tableColumns>
  <tableStyleInfo name="TableStyleLight8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6B86F11-C059-4FA6-8933-84CC0878902C}" name="Tabla469" displayName="Tabla469" ref="E96:G136" totalsRowShown="0" headerRowBorderDxfId="5" tableBorderDxfId="4" totalsRowBorderDxfId="3">
  <autoFilter ref="E96:G136" xr:uid="{5D60154C-6709-416E-A84B-6BAA39C10A10}"/>
  <tableColumns count="3">
    <tableColumn id="1" xr3:uid="{5DFA463E-B989-4D85-8026-98C522DC0560}" name="CANTIDAD DE REPUESTOS" dataDxfId="2">
      <calculatedColumnFormula>E96+1</calculatedColumnFormula>
    </tableColumn>
    <tableColumn id="2" xr3:uid="{5D71552B-40B7-4B84-9B93-E9517DA899C1}" name="PROBABILIDAD DE NO PODER ATENDER LAS FALLAS EN EL PERIODO DE ANALISIS" dataDxfId="1">
      <calculatedColumnFormula>IF(E97&lt;=B11,100-G11,100-G11)</calculatedColumnFormula>
    </tableColumn>
    <tableColumn id="3" xr3:uid="{B89BC31F-7B4F-44DC-8CC9-B74EE1CE6D84}" name="RIESGO TOTAL" dataDxfId="0">
      <calculatedColumnFormula>IF(E97&lt;=B11,(F97/100)*($D$115+$D$125+$D$133+$D$135),(F97/100)*($D$115+$D$125+$D$133+$D$135))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drawing" Target="../drawings/drawing2.xml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drawing" Target="../drawings/drawing3.xm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09718-8EC9-417D-B6CA-1E33D2CF52D9}">
  <dimension ref="A1:B4"/>
  <sheetViews>
    <sheetView tabSelected="1" workbookViewId="0">
      <selection activeCell="B15" sqref="B15"/>
    </sheetView>
  </sheetViews>
  <sheetFormatPr baseColWidth="10" defaultRowHeight="14.4" x14ac:dyDescent="0.3"/>
  <cols>
    <col min="2" max="2" width="34.44140625" customWidth="1"/>
  </cols>
  <sheetData>
    <row r="1" spans="1:2" x14ac:dyDescent="0.3">
      <c r="A1" t="s">
        <v>74</v>
      </c>
      <c r="B1" t="s">
        <v>75</v>
      </c>
    </row>
    <row r="2" spans="1:2" x14ac:dyDescent="0.3">
      <c r="A2" s="23">
        <v>77238</v>
      </c>
      <c r="B2" s="26" t="s">
        <v>71</v>
      </c>
    </row>
    <row r="3" spans="1:2" x14ac:dyDescent="0.3">
      <c r="A3" s="24">
        <v>77239</v>
      </c>
      <c r="B3" s="27" t="s">
        <v>72</v>
      </c>
    </row>
    <row r="4" spans="1:2" ht="15" thickBot="1" x14ac:dyDescent="0.35">
      <c r="A4" s="25">
        <v>77304</v>
      </c>
      <c r="B4" s="28" t="s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5B7FB-AFC2-47F3-B9CC-80B709589BF0}">
  <dimension ref="B1:S172"/>
  <sheetViews>
    <sheetView topLeftCell="A114" zoomScale="40" zoomScaleNormal="40" workbookViewId="0">
      <selection activeCell="U75" sqref="U75"/>
    </sheetView>
  </sheetViews>
  <sheetFormatPr baseColWidth="10" defaultRowHeight="14.4" x14ac:dyDescent="0.3"/>
  <cols>
    <col min="1" max="1" width="3.44140625" customWidth="1"/>
    <col min="2" max="4" width="18.6640625" customWidth="1"/>
    <col min="5" max="5" width="18.88671875" customWidth="1"/>
    <col min="6" max="7" width="18.6640625" customWidth="1"/>
    <col min="8" max="8" width="18.88671875" customWidth="1"/>
    <col min="9" max="9" width="15.88671875" customWidth="1"/>
    <col min="10" max="10" width="16.88671875" customWidth="1"/>
    <col min="11" max="11" width="18.6640625" customWidth="1"/>
    <col min="12" max="12" width="21" customWidth="1"/>
    <col min="13" max="13" width="13.88671875" customWidth="1"/>
    <col min="14" max="14" width="20.109375" customWidth="1"/>
    <col min="18" max="18" width="0.88671875" customWidth="1"/>
    <col min="19" max="19" width="1" customWidth="1"/>
  </cols>
  <sheetData>
    <row r="1" spans="2:14" ht="100.5" customHeight="1" x14ac:dyDescent="0.3">
      <c r="B1" s="55" t="s">
        <v>24</v>
      </c>
      <c r="C1" s="56"/>
      <c r="D1" s="56"/>
      <c r="E1" s="56"/>
      <c r="F1" s="56"/>
      <c r="G1" s="56"/>
      <c r="H1" s="56"/>
      <c r="I1" s="57"/>
      <c r="J1" s="53"/>
      <c r="K1" s="53"/>
      <c r="L1" s="53"/>
      <c r="M1" s="53"/>
      <c r="N1" s="54"/>
    </row>
    <row r="2" spans="2:14" x14ac:dyDescent="0.3">
      <c r="B2" s="31" t="s">
        <v>21</v>
      </c>
      <c r="C2" s="32"/>
      <c r="D2" s="30"/>
      <c r="E2" s="30"/>
      <c r="F2" s="30"/>
      <c r="G2" s="30"/>
      <c r="H2" s="30"/>
      <c r="I2" s="32" t="s">
        <v>23</v>
      </c>
      <c r="J2" s="32"/>
      <c r="K2" s="32"/>
      <c r="L2" s="30"/>
      <c r="M2" s="30"/>
      <c r="N2" s="41"/>
    </row>
    <row r="3" spans="2:14" x14ac:dyDescent="0.3">
      <c r="B3" s="31" t="s">
        <v>0</v>
      </c>
      <c r="C3" s="32"/>
      <c r="D3" s="30"/>
      <c r="E3" s="30"/>
      <c r="F3" s="30"/>
      <c r="G3" s="30"/>
      <c r="H3" s="30"/>
      <c r="I3" s="32" t="s">
        <v>25</v>
      </c>
      <c r="J3" s="32"/>
      <c r="K3" s="32"/>
      <c r="L3" s="30"/>
      <c r="M3" s="30"/>
      <c r="N3" s="41"/>
    </row>
    <row r="4" spans="2:14" x14ac:dyDescent="0.3">
      <c r="B4" s="31" t="s">
        <v>22</v>
      </c>
      <c r="C4" s="32"/>
      <c r="D4" s="30">
        <v>77238</v>
      </c>
      <c r="E4" s="30"/>
      <c r="F4" s="30"/>
      <c r="G4" s="30"/>
      <c r="H4" s="30"/>
      <c r="I4" s="32" t="s">
        <v>26</v>
      </c>
      <c r="J4" s="32"/>
      <c r="K4" s="32"/>
      <c r="L4" s="30"/>
      <c r="M4" s="30"/>
      <c r="N4" s="41"/>
    </row>
    <row r="5" spans="2:14" x14ac:dyDescent="0.3">
      <c r="B5" s="31" t="s">
        <v>1</v>
      </c>
      <c r="C5" s="32"/>
      <c r="D5" s="30" t="s">
        <v>71</v>
      </c>
      <c r="E5" s="30"/>
      <c r="F5" s="30"/>
      <c r="G5" s="30"/>
      <c r="H5" s="30"/>
      <c r="I5" s="32" t="s">
        <v>27</v>
      </c>
      <c r="J5" s="32"/>
      <c r="K5" s="32"/>
      <c r="L5" s="30"/>
      <c r="M5" s="30"/>
      <c r="N5" s="41"/>
    </row>
    <row r="6" spans="2:14" ht="20.25" customHeight="1" x14ac:dyDescent="0.4">
      <c r="B6" s="50" t="s">
        <v>20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2"/>
    </row>
    <row r="7" spans="2:14" ht="71.25" customHeight="1" x14ac:dyDescent="0.3">
      <c r="B7" s="12" t="s">
        <v>15</v>
      </c>
      <c r="C7" s="2">
        <v>12</v>
      </c>
      <c r="D7" s="1" t="s">
        <v>16</v>
      </c>
      <c r="E7" s="2">
        <f>21/1000000</f>
        <v>2.0999999999999999E-5</v>
      </c>
      <c r="F7" s="1" t="s">
        <v>19</v>
      </c>
      <c r="G7" s="4">
        <f>(C7*24*30)*E7*B11</f>
        <v>3.6288</v>
      </c>
      <c r="H7" s="30"/>
      <c r="I7" s="30"/>
      <c r="J7" s="30"/>
      <c r="K7" s="30"/>
      <c r="L7" s="30"/>
      <c r="M7" s="30"/>
      <c r="N7" s="41"/>
    </row>
    <row r="8" spans="2:14" ht="25.2" customHeight="1" x14ac:dyDescent="0.3">
      <c r="B8" s="45" t="s">
        <v>10</v>
      </c>
      <c r="C8" s="46" t="s">
        <v>11</v>
      </c>
      <c r="D8" s="46" t="s">
        <v>12</v>
      </c>
      <c r="E8" s="46" t="s">
        <v>13</v>
      </c>
      <c r="F8" s="1" t="s">
        <v>5</v>
      </c>
      <c r="G8" s="1" t="s">
        <v>6</v>
      </c>
      <c r="H8" s="30"/>
      <c r="I8" s="30"/>
      <c r="J8" s="30"/>
      <c r="K8" s="30"/>
      <c r="L8" s="30"/>
      <c r="M8" s="30"/>
      <c r="N8" s="41"/>
    </row>
    <row r="9" spans="2:14" ht="60" customHeight="1" x14ac:dyDescent="0.3">
      <c r="B9" s="45"/>
      <c r="C9" s="46"/>
      <c r="D9" s="46"/>
      <c r="E9" s="46"/>
      <c r="F9" s="1" t="s">
        <v>3</v>
      </c>
      <c r="G9" s="1" t="s">
        <v>4</v>
      </c>
      <c r="H9" s="30"/>
      <c r="I9" s="30"/>
      <c r="J9" s="30"/>
      <c r="K9" s="30"/>
      <c r="L9" s="30"/>
      <c r="M9" s="30"/>
      <c r="N9" s="41"/>
    </row>
    <row r="10" spans="2:14" ht="30.75" customHeight="1" x14ac:dyDescent="0.3">
      <c r="B10" s="12" t="s">
        <v>7</v>
      </c>
      <c r="C10" s="1" t="s">
        <v>8</v>
      </c>
      <c r="D10" s="1" t="s">
        <v>9</v>
      </c>
      <c r="E10" s="1" t="s">
        <v>14</v>
      </c>
      <c r="F10" s="1" t="s">
        <v>17</v>
      </c>
      <c r="G10" s="1" t="s">
        <v>18</v>
      </c>
      <c r="H10" s="30"/>
      <c r="I10" s="30"/>
      <c r="J10" s="30"/>
      <c r="K10" s="30"/>
      <c r="L10" s="30"/>
      <c r="M10" s="30"/>
      <c r="N10" s="41"/>
    </row>
    <row r="11" spans="2:14" x14ac:dyDescent="0.3">
      <c r="B11" s="13">
        <v>20</v>
      </c>
      <c r="C11" s="6">
        <v>0</v>
      </c>
      <c r="D11" s="5">
        <f>NCFA[[#This Row],[n ]]-NCFA[[#This Row],[k]]</f>
        <v>20</v>
      </c>
      <c r="E11" s="6">
        <v>95</v>
      </c>
      <c r="F11" s="5">
        <f>IF(NCFA[[#This Row],[n-k]]&lt;0,0,((_xlfn.POISSON.DIST(NCFA[[#This Row],[k]],$G$7,FALSE))*100))</f>
        <v>2.6548022929476578</v>
      </c>
      <c r="G11" s="5">
        <f>IF(NCFA[[#This Row],[n-k]]&lt;0,100,((_xlfn.POISSON.DIST(NCFA[[#This Row],[k]],$G$7,TRUE))*100))</f>
        <v>2.6548022929476578</v>
      </c>
      <c r="H11" s="30"/>
      <c r="I11" s="30"/>
      <c r="J11" s="30"/>
      <c r="K11" s="30"/>
      <c r="L11" s="30"/>
      <c r="M11" s="30"/>
      <c r="N11" s="41"/>
    </row>
    <row r="12" spans="2:14" x14ac:dyDescent="0.3">
      <c r="B12" s="14">
        <f>B11</f>
        <v>20</v>
      </c>
      <c r="C12" s="5">
        <f>C11+1</f>
        <v>1</v>
      </c>
      <c r="D12" s="5">
        <f>NCFA[[#This Row],[n ]]-NCFA[[#This Row],[k]]</f>
        <v>19</v>
      </c>
      <c r="E12" s="5">
        <f>IF(NCFA[[#This Row],[n-k]]&lt;0,$E$11,$E$11)</f>
        <v>95</v>
      </c>
      <c r="F12" s="5">
        <f>IF(NCFA[[#This Row],[n-k]]&lt;0,0,((_xlfn.POISSON.DIST(NCFA[[#This Row],[k]],$G$7,FALSE))*100))</f>
        <v>9.6337465606484596</v>
      </c>
      <c r="G12" s="5">
        <f>IF(NCFA[[#This Row],[n-k]]&lt;0,100,((_xlfn.POISSON.DIST(NCFA[[#This Row],[k]],$G$7,TRUE))*100))</f>
        <v>12.288548853596119</v>
      </c>
      <c r="H12" s="30"/>
      <c r="I12" s="30"/>
      <c r="J12" s="30"/>
      <c r="K12" s="30"/>
      <c r="L12" s="30"/>
      <c r="M12" s="30"/>
      <c r="N12" s="41"/>
    </row>
    <row r="13" spans="2:14" x14ac:dyDescent="0.3">
      <c r="B13" s="14">
        <f t="shared" ref="B13:B51" si="0">B12</f>
        <v>20</v>
      </c>
      <c r="C13" s="5">
        <f t="shared" ref="C13:C31" si="1">C12+1</f>
        <v>2</v>
      </c>
      <c r="D13" s="5">
        <f>NCFA[[#This Row],[n ]]-NCFA[[#This Row],[k]]</f>
        <v>18</v>
      </c>
      <c r="E13" s="5">
        <f>IF(NCFA[[#This Row],[n-k]]&lt;0,$E$11,$E$11)</f>
        <v>95</v>
      </c>
      <c r="F13" s="5">
        <f>IF(NCFA[[#This Row],[n-k]]&lt;0,0,((_xlfn.POISSON.DIST(NCFA[[#This Row],[k]],$G$7,FALSE))*100))</f>
        <v>17.479469759640576</v>
      </c>
      <c r="G13" s="5">
        <f>IF(NCFA[[#This Row],[n-k]]&lt;0,100,((_xlfn.POISSON.DIST(NCFA[[#This Row],[k]],$G$7,TRUE))*100))</f>
        <v>29.768018613236684</v>
      </c>
      <c r="H13" s="30"/>
      <c r="I13" s="30"/>
      <c r="J13" s="30"/>
      <c r="K13" s="30"/>
      <c r="L13" s="30"/>
      <c r="M13" s="30"/>
      <c r="N13" s="41"/>
    </row>
    <row r="14" spans="2:14" x14ac:dyDescent="0.3">
      <c r="B14" s="14">
        <f t="shared" si="0"/>
        <v>20</v>
      </c>
      <c r="C14" s="5">
        <f t="shared" si="1"/>
        <v>3</v>
      </c>
      <c r="D14" s="5">
        <f>NCFA[[#This Row],[n ]]-NCFA[[#This Row],[k]]</f>
        <v>17</v>
      </c>
      <c r="E14" s="5">
        <f>IF(NCFA[[#This Row],[n-k]]&lt;0,$E$11,$E$11)</f>
        <v>95</v>
      </c>
      <c r="F14" s="5">
        <f>IF(NCFA[[#This Row],[n-k]]&lt;0,0,((_xlfn.POISSON.DIST(NCFA[[#This Row],[k]],$G$7,FALSE))*100))</f>
        <v>21.14316662126123</v>
      </c>
      <c r="G14" s="5">
        <f>IF(NCFA[[#This Row],[n-k]]&lt;0,100,((_xlfn.POISSON.DIST(NCFA[[#This Row],[k]],$G$7,TRUE))*100))</f>
        <v>50.9111852344979</v>
      </c>
      <c r="H14" s="30"/>
      <c r="I14" s="30"/>
      <c r="J14" s="30"/>
      <c r="K14" s="30"/>
      <c r="L14" s="30"/>
      <c r="M14" s="30"/>
      <c r="N14" s="41"/>
    </row>
    <row r="15" spans="2:14" x14ac:dyDescent="0.3">
      <c r="B15" s="14">
        <f t="shared" si="0"/>
        <v>20</v>
      </c>
      <c r="C15" s="5">
        <f t="shared" si="1"/>
        <v>4</v>
      </c>
      <c r="D15" s="5">
        <f>NCFA[[#This Row],[n ]]-NCFA[[#This Row],[k]]</f>
        <v>16</v>
      </c>
      <c r="E15" s="5">
        <f>IF(NCFA[[#This Row],[n-k]]&lt;0,$E$11,$E$11)</f>
        <v>95</v>
      </c>
      <c r="F15" s="5">
        <f>IF(NCFA[[#This Row],[n-k]]&lt;0,0,((_xlfn.POISSON.DIST(NCFA[[#This Row],[k]],$G$7,FALSE))*100))</f>
        <v>19.181080758808193</v>
      </c>
      <c r="G15" s="5">
        <f>IF(NCFA[[#This Row],[n-k]]&lt;0,100,((_xlfn.POISSON.DIST(NCFA[[#This Row],[k]],$G$7,TRUE))*100))</f>
        <v>70.092265993306086</v>
      </c>
      <c r="H15" s="30"/>
      <c r="I15" s="30"/>
      <c r="J15" s="30"/>
      <c r="K15" s="30"/>
      <c r="L15" s="30"/>
      <c r="M15" s="30"/>
      <c r="N15" s="41"/>
    </row>
    <row r="16" spans="2:14" x14ac:dyDescent="0.3">
      <c r="B16" s="14">
        <f t="shared" si="0"/>
        <v>20</v>
      </c>
      <c r="C16" s="5">
        <f t="shared" si="1"/>
        <v>5</v>
      </c>
      <c r="D16" s="5">
        <f>NCFA[[#This Row],[n ]]-NCFA[[#This Row],[k]]</f>
        <v>15</v>
      </c>
      <c r="E16" s="5">
        <f>IF(NCFA[[#This Row],[n-k]]&lt;0,$E$11,$E$11)</f>
        <v>95</v>
      </c>
      <c r="F16" s="5">
        <f>IF(NCFA[[#This Row],[n-k]]&lt;0,0,((_xlfn.POISSON.DIST(NCFA[[#This Row],[k]],$G$7,FALSE))*100))</f>
        <v>13.920861171512636</v>
      </c>
      <c r="G16" s="5">
        <f>IF(NCFA[[#This Row],[n-k]]&lt;0,100,((_xlfn.POISSON.DIST(NCFA[[#This Row],[k]],$G$7,TRUE))*100))</f>
        <v>84.013127164818741</v>
      </c>
      <c r="H16" s="30"/>
      <c r="I16" s="30"/>
      <c r="J16" s="30"/>
      <c r="K16" s="30"/>
      <c r="L16" s="30"/>
      <c r="M16" s="30"/>
      <c r="N16" s="41"/>
    </row>
    <row r="17" spans="2:14" x14ac:dyDescent="0.3">
      <c r="B17" s="14">
        <f t="shared" si="0"/>
        <v>20</v>
      </c>
      <c r="C17" s="5">
        <f t="shared" si="1"/>
        <v>6</v>
      </c>
      <c r="D17" s="5">
        <f>NCFA[[#This Row],[n ]]-NCFA[[#This Row],[k]]</f>
        <v>14</v>
      </c>
      <c r="E17" s="5">
        <f>IF(NCFA[[#This Row],[n-k]]&lt;0,$E$11,$E$11)</f>
        <v>95</v>
      </c>
      <c r="F17" s="5">
        <f>IF(NCFA[[#This Row],[n-k]]&lt;0,0,((_xlfn.POISSON.DIST(NCFA[[#This Row],[k]],$G$7,FALSE))*100))</f>
        <v>8.4193368365308405</v>
      </c>
      <c r="G17" s="5">
        <f>IF(NCFA[[#This Row],[n-k]]&lt;0,100,((_xlfn.POISSON.DIST(NCFA[[#This Row],[k]],$G$7,TRUE))*100))</f>
        <v>92.432464001349572</v>
      </c>
      <c r="H17" s="30"/>
      <c r="I17" s="30"/>
      <c r="J17" s="30"/>
      <c r="K17" s="30"/>
      <c r="L17" s="30"/>
      <c r="M17" s="30"/>
      <c r="N17" s="41"/>
    </row>
    <row r="18" spans="2:14" x14ac:dyDescent="0.3">
      <c r="B18" s="14">
        <f t="shared" si="0"/>
        <v>20</v>
      </c>
      <c r="C18" s="5">
        <f t="shared" si="1"/>
        <v>7</v>
      </c>
      <c r="D18" s="5">
        <f>NCFA[[#This Row],[n ]]-NCFA[[#This Row],[k]]</f>
        <v>13</v>
      </c>
      <c r="E18" s="5">
        <f>IF(NCFA[[#This Row],[n-k]]&lt;0,$E$11,$E$11)</f>
        <v>95</v>
      </c>
      <c r="F18" s="5">
        <f>IF(NCFA[[#This Row],[n-k]]&lt;0,0,((_xlfn.POISSON.DIST(NCFA[[#This Row],[k]],$G$7,FALSE))*100))</f>
        <v>4.3645842160575885</v>
      </c>
      <c r="G18" s="5">
        <f>IF(NCFA[[#This Row],[n-k]]&lt;0,100,((_xlfn.POISSON.DIST(NCFA[[#This Row],[k]],$G$7,TRUE))*100))</f>
        <v>96.797048217407152</v>
      </c>
      <c r="H18" s="30"/>
      <c r="I18" s="30"/>
      <c r="J18" s="30"/>
      <c r="K18" s="30"/>
      <c r="L18" s="30"/>
      <c r="M18" s="30"/>
      <c r="N18" s="41"/>
    </row>
    <row r="19" spans="2:14" x14ac:dyDescent="0.3">
      <c r="B19" s="14">
        <f t="shared" si="0"/>
        <v>20</v>
      </c>
      <c r="C19" s="5">
        <f t="shared" si="1"/>
        <v>8</v>
      </c>
      <c r="D19" s="5">
        <f>NCFA[[#This Row],[n ]]-NCFA[[#This Row],[k]]</f>
        <v>12</v>
      </c>
      <c r="E19" s="5">
        <f>IF(NCFA[[#This Row],[n-k]]&lt;0,$E$11,$E$11)</f>
        <v>95</v>
      </c>
      <c r="F19" s="5">
        <f>IF(NCFA[[#This Row],[n-k]]&lt;0,0,((_xlfn.POISSON.DIST(NCFA[[#This Row],[k]],$G$7,FALSE))*100))</f>
        <v>1.9797754004037236</v>
      </c>
      <c r="G19" s="5">
        <f>IF(NCFA[[#This Row],[n-k]]&lt;0,100,((_xlfn.POISSON.DIST(NCFA[[#This Row],[k]],$G$7,TRUE))*100))</f>
        <v>98.776823617810876</v>
      </c>
      <c r="H19" s="30"/>
      <c r="I19" s="30"/>
      <c r="J19" s="30"/>
      <c r="K19" s="30"/>
      <c r="L19" s="30"/>
      <c r="M19" s="30"/>
      <c r="N19" s="41"/>
    </row>
    <row r="20" spans="2:14" x14ac:dyDescent="0.3">
      <c r="B20" s="14">
        <f t="shared" si="0"/>
        <v>20</v>
      </c>
      <c r="C20" s="5">
        <f t="shared" si="1"/>
        <v>9</v>
      </c>
      <c r="D20" s="5">
        <f>NCFA[[#This Row],[n ]]-NCFA[[#This Row],[k]]</f>
        <v>11</v>
      </c>
      <c r="E20" s="5">
        <f>IF(NCFA[[#This Row],[n-k]]&lt;0,$E$11,$E$11)</f>
        <v>95</v>
      </c>
      <c r="F20" s="5">
        <f>IF(NCFA[[#This Row],[n-k]]&lt;0,0,((_xlfn.POISSON.DIST(NCFA[[#This Row],[k]],$G$7,FALSE))*100))</f>
        <v>0.79824544144278076</v>
      </c>
      <c r="G20" s="5">
        <f>IF(NCFA[[#This Row],[n-k]]&lt;0,100,((_xlfn.POISSON.DIST(NCFA[[#This Row],[k]],$G$7,TRUE))*100))</f>
        <v>99.575069059253664</v>
      </c>
      <c r="H20" s="30"/>
      <c r="I20" s="30"/>
      <c r="J20" s="30"/>
      <c r="K20" s="30"/>
      <c r="L20" s="30"/>
      <c r="M20" s="30"/>
      <c r="N20" s="41"/>
    </row>
    <row r="21" spans="2:14" x14ac:dyDescent="0.3">
      <c r="B21" s="14">
        <f t="shared" si="0"/>
        <v>20</v>
      </c>
      <c r="C21" s="5">
        <f t="shared" si="1"/>
        <v>10</v>
      </c>
      <c r="D21" s="5">
        <f>NCFA[[#This Row],[n ]]-NCFA[[#This Row],[k]]</f>
        <v>10</v>
      </c>
      <c r="E21" s="5">
        <f>IF(NCFA[[#This Row],[n-k]]&lt;0,$E$11,$E$11)</f>
        <v>95</v>
      </c>
      <c r="F21" s="5">
        <f>IF(NCFA[[#This Row],[n-k]]&lt;0,0,((_xlfn.POISSON.DIST(NCFA[[#This Row],[k]],$G$7,FALSE))*100))</f>
        <v>0.289667305790756</v>
      </c>
      <c r="G21" s="5">
        <f>IF(NCFA[[#This Row],[n-k]]&lt;0,100,((_xlfn.POISSON.DIST(NCFA[[#This Row],[k]],$G$7,TRUE))*100))</f>
        <v>99.864736365044422</v>
      </c>
      <c r="H21" s="30"/>
      <c r="I21" s="30"/>
      <c r="J21" s="30"/>
      <c r="K21" s="30"/>
      <c r="L21" s="30"/>
      <c r="M21" s="30"/>
      <c r="N21" s="41"/>
    </row>
    <row r="22" spans="2:14" x14ac:dyDescent="0.3">
      <c r="B22" s="14">
        <f t="shared" si="0"/>
        <v>20</v>
      </c>
      <c r="C22" s="5">
        <f t="shared" si="1"/>
        <v>11</v>
      </c>
      <c r="D22" s="5">
        <f>NCFA[[#This Row],[n ]]-NCFA[[#This Row],[k]]</f>
        <v>9</v>
      </c>
      <c r="E22" s="5">
        <f>IF(NCFA[[#This Row],[n-k]]&lt;0,$E$11,$E$11)</f>
        <v>95</v>
      </c>
      <c r="F22" s="5">
        <f>IF(NCFA[[#This Row],[n-k]]&lt;0,0,((_xlfn.POISSON.DIST(NCFA[[#This Row],[k]],$G$7,FALSE))*100))</f>
        <v>9.5558610841226896E-2</v>
      </c>
      <c r="G22" s="5">
        <f>IF(NCFA[[#This Row],[n-k]]&lt;0,100,((_xlfn.POISSON.DIST(NCFA[[#This Row],[k]],$G$7,TRUE))*100))</f>
        <v>99.960294975885645</v>
      </c>
      <c r="H22" s="30"/>
      <c r="I22" s="30"/>
      <c r="J22" s="30"/>
      <c r="K22" s="30"/>
      <c r="L22" s="30"/>
      <c r="M22" s="30"/>
      <c r="N22" s="41"/>
    </row>
    <row r="23" spans="2:14" x14ac:dyDescent="0.3">
      <c r="B23" s="14">
        <f t="shared" si="0"/>
        <v>20</v>
      </c>
      <c r="C23" s="5">
        <f t="shared" si="1"/>
        <v>12</v>
      </c>
      <c r="D23" s="5">
        <f>NCFA[[#This Row],[n ]]-NCFA[[#This Row],[k]]</f>
        <v>8</v>
      </c>
      <c r="E23" s="5">
        <f>IF(NCFA[[#This Row],[n-k]]&lt;0,$E$11,$E$11)</f>
        <v>95</v>
      </c>
      <c r="F23" s="5">
        <f>IF(NCFA[[#This Row],[n-k]]&lt;0,0,((_xlfn.POISSON.DIST(NCFA[[#This Row],[k]],$G$7,FALSE))*100))</f>
        <v>2.8896923918387028E-2</v>
      </c>
      <c r="G23" s="5">
        <f>IF(NCFA[[#This Row],[n-k]]&lt;0,100,((_xlfn.POISSON.DIST(NCFA[[#This Row],[k]],$G$7,TRUE))*100))</f>
        <v>99.989191899804041</v>
      </c>
      <c r="H23" s="30"/>
      <c r="I23" s="30"/>
      <c r="J23" s="30"/>
      <c r="K23" s="30"/>
      <c r="L23" s="30"/>
      <c r="M23" s="30"/>
      <c r="N23" s="41"/>
    </row>
    <row r="24" spans="2:14" x14ac:dyDescent="0.3">
      <c r="B24" s="14">
        <f t="shared" si="0"/>
        <v>20</v>
      </c>
      <c r="C24" s="5">
        <f t="shared" si="1"/>
        <v>13</v>
      </c>
      <c r="D24" s="5">
        <f>NCFA[[#This Row],[n ]]-NCFA[[#This Row],[k]]</f>
        <v>7</v>
      </c>
      <c r="E24" s="5">
        <f>IF(NCFA[[#This Row],[n-k]]&lt;0,$E$11,$E$11)</f>
        <v>95</v>
      </c>
      <c r="F24" s="5">
        <f>IF(NCFA[[#This Row],[n-k]]&lt;0,0,((_xlfn.POISSON.DIST(NCFA[[#This Row],[k]],$G$7,FALSE))*100))</f>
        <v>8.0662428857725225E-3</v>
      </c>
      <c r="G24" s="5">
        <f>IF(NCFA[[#This Row],[n-k]]&lt;0,100,((_xlfn.POISSON.DIST(NCFA[[#This Row],[k]],$G$7,TRUE))*100))</f>
        <v>99.997258142689802</v>
      </c>
      <c r="H24" s="30"/>
      <c r="I24" s="30"/>
      <c r="J24" s="30"/>
      <c r="K24" s="30"/>
      <c r="L24" s="30"/>
      <c r="M24" s="30"/>
      <c r="N24" s="41"/>
    </row>
    <row r="25" spans="2:14" x14ac:dyDescent="0.3">
      <c r="B25" s="14">
        <f t="shared" si="0"/>
        <v>20</v>
      </c>
      <c r="C25" s="5">
        <f t="shared" si="1"/>
        <v>14</v>
      </c>
      <c r="D25" s="5">
        <f>NCFA[[#This Row],[n ]]-NCFA[[#This Row],[k]]</f>
        <v>6</v>
      </c>
      <c r="E25" s="5">
        <f>IF(NCFA[[#This Row],[n-k]]&lt;0,$E$11,$E$11)</f>
        <v>95</v>
      </c>
      <c r="F25" s="5">
        <f>IF(NCFA[[#This Row],[n-k]]&lt;0,0,((_xlfn.POISSON.DIST(NCFA[[#This Row],[k]],$G$7,FALSE))*100))</f>
        <v>2.0907701559922383E-3</v>
      </c>
      <c r="G25" s="5">
        <f>IF(NCFA[[#This Row],[n-k]]&lt;0,100,((_xlfn.POISSON.DIST(NCFA[[#This Row],[k]],$G$7,TRUE))*100))</f>
        <v>99.999348912845804</v>
      </c>
      <c r="H25" s="30"/>
      <c r="I25" s="30"/>
      <c r="J25" s="30"/>
      <c r="K25" s="30"/>
      <c r="L25" s="30"/>
      <c r="M25" s="30"/>
      <c r="N25" s="41"/>
    </row>
    <row r="26" spans="2:14" x14ac:dyDescent="0.3">
      <c r="B26" s="14">
        <f t="shared" si="0"/>
        <v>20</v>
      </c>
      <c r="C26" s="5">
        <f t="shared" si="1"/>
        <v>15</v>
      </c>
      <c r="D26" s="5">
        <f>NCFA[[#This Row],[n ]]-NCFA[[#This Row],[k]]</f>
        <v>5</v>
      </c>
      <c r="E26" s="5">
        <f>IF(NCFA[[#This Row],[n-k]]&lt;0,$E$11,$E$11)</f>
        <v>95</v>
      </c>
      <c r="F26" s="5">
        <f>IF(NCFA[[#This Row],[n-k]]&lt;0,0,((_xlfn.POISSON.DIST(NCFA[[#This Row],[k]],$G$7,FALSE))*100))</f>
        <v>5.0579911613764272E-4</v>
      </c>
      <c r="G26" s="5">
        <f>IF(NCFA[[#This Row],[n-k]]&lt;0,100,((_xlfn.POISSON.DIST(NCFA[[#This Row],[k]],$G$7,TRUE))*100))</f>
        <v>99.99985471196193</v>
      </c>
      <c r="H26" s="30"/>
      <c r="I26" s="30"/>
      <c r="J26" s="30"/>
      <c r="K26" s="30"/>
      <c r="L26" s="30"/>
      <c r="M26" s="30"/>
      <c r="N26" s="41"/>
    </row>
    <row r="27" spans="2:14" x14ac:dyDescent="0.3">
      <c r="B27" s="14">
        <f t="shared" si="0"/>
        <v>20</v>
      </c>
      <c r="C27" s="5">
        <f t="shared" si="1"/>
        <v>16</v>
      </c>
      <c r="D27" s="5">
        <f>NCFA[[#This Row],[n ]]-NCFA[[#This Row],[k]]</f>
        <v>4</v>
      </c>
      <c r="E27" s="5">
        <f>IF(NCFA[[#This Row],[n-k]]&lt;0,$E$11,$E$11)</f>
        <v>95</v>
      </c>
      <c r="F27" s="5">
        <f>IF(NCFA[[#This Row],[n-k]]&lt;0,0,((_xlfn.POISSON.DIST(NCFA[[#This Row],[k]],$G$7,FALSE))*100))</f>
        <v>1.1471523954001744E-4</v>
      </c>
      <c r="G27" s="5">
        <f>IF(NCFA[[#This Row],[n-k]]&lt;0,100,((_xlfn.POISSON.DIST(NCFA[[#This Row],[k]],$G$7,TRUE))*100))</f>
        <v>99.999969427201478</v>
      </c>
      <c r="H27" s="30"/>
      <c r="I27" s="30"/>
      <c r="J27" s="30"/>
      <c r="K27" s="30"/>
      <c r="L27" s="30"/>
      <c r="M27" s="30"/>
      <c r="N27" s="41"/>
    </row>
    <row r="28" spans="2:14" x14ac:dyDescent="0.3">
      <c r="B28" s="14">
        <f t="shared" si="0"/>
        <v>20</v>
      </c>
      <c r="C28" s="5">
        <f t="shared" si="1"/>
        <v>17</v>
      </c>
      <c r="D28" s="5">
        <f>NCFA[[#This Row],[n ]]-NCFA[[#This Row],[k]]</f>
        <v>3</v>
      </c>
      <c r="E28" s="5">
        <f>IF(NCFA[[#This Row],[n-k]]&lt;0,$E$11,$E$11)</f>
        <v>95</v>
      </c>
      <c r="F28" s="5">
        <f>IF(NCFA[[#This Row],[n-k]]&lt;0,0,((_xlfn.POISSON.DIST(NCFA[[#This Row],[k]],$G$7,FALSE))*100))</f>
        <v>2.448698007310677E-5</v>
      </c>
      <c r="G28" s="5">
        <f>IF(NCFA[[#This Row],[n-k]]&lt;0,100,((_xlfn.POISSON.DIST(NCFA[[#This Row],[k]],$G$7,TRUE))*100))</f>
        <v>99.999993914181545</v>
      </c>
      <c r="H28" s="30"/>
      <c r="I28" s="30"/>
      <c r="J28" s="30"/>
      <c r="K28" s="30"/>
      <c r="L28" s="30"/>
      <c r="M28" s="30"/>
      <c r="N28" s="41"/>
    </row>
    <row r="29" spans="2:14" x14ac:dyDescent="0.3">
      <c r="B29" s="14">
        <f t="shared" si="0"/>
        <v>20</v>
      </c>
      <c r="C29" s="5">
        <f t="shared" si="1"/>
        <v>18</v>
      </c>
      <c r="D29" s="5">
        <f>NCFA[[#This Row],[n ]]-NCFA[[#This Row],[k]]</f>
        <v>2</v>
      </c>
      <c r="E29" s="5">
        <f>IF(NCFA[[#This Row],[n-k]]&lt;0,$E$11,$E$11)</f>
        <v>95</v>
      </c>
      <c r="F29" s="5">
        <f>IF(NCFA[[#This Row],[n-k]]&lt;0,0,((_xlfn.POISSON.DIST(NCFA[[#This Row],[k]],$G$7,FALSE))*100))</f>
        <v>4.9365751827383123E-6</v>
      </c>
      <c r="G29" s="5">
        <f>IF(NCFA[[#This Row],[n-k]]&lt;0,100,((_xlfn.POISSON.DIST(NCFA[[#This Row],[k]],$G$7,TRUE))*100))</f>
        <v>99.999998850756739</v>
      </c>
      <c r="H29" s="30"/>
      <c r="I29" s="30"/>
      <c r="J29" s="30"/>
      <c r="K29" s="30"/>
      <c r="L29" s="30"/>
      <c r="M29" s="30"/>
      <c r="N29" s="41"/>
    </row>
    <row r="30" spans="2:14" x14ac:dyDescent="0.3">
      <c r="B30" s="14">
        <f t="shared" si="0"/>
        <v>20</v>
      </c>
      <c r="C30" s="5">
        <f t="shared" si="1"/>
        <v>19</v>
      </c>
      <c r="D30" s="5">
        <f>NCFA[[#This Row],[n ]]-NCFA[[#This Row],[k]]</f>
        <v>1</v>
      </c>
      <c r="E30" s="5">
        <f>IF(NCFA[[#This Row],[n-k]]&lt;0,$E$11,$E$11)</f>
        <v>95</v>
      </c>
      <c r="F30" s="5">
        <f>IF(NCFA[[#This Row],[n-k]]&lt;0,0,((_xlfn.POISSON.DIST(NCFA[[#This Row],[k]],$G$7,FALSE))*100))</f>
        <v>9.4283389595372736E-7</v>
      </c>
      <c r="G30" s="5">
        <f>IF(NCFA[[#This Row],[n-k]]&lt;0,100,((_xlfn.POISSON.DIST(NCFA[[#This Row],[k]],$G$7,TRUE))*100))</f>
        <v>99.999999793590618</v>
      </c>
      <c r="H30" s="30"/>
      <c r="I30" s="30"/>
      <c r="J30" s="30"/>
      <c r="K30" s="30"/>
      <c r="L30" s="30"/>
      <c r="M30" s="30"/>
      <c r="N30" s="41"/>
    </row>
    <row r="31" spans="2:14" x14ac:dyDescent="0.3">
      <c r="B31" s="14">
        <f t="shared" si="0"/>
        <v>20</v>
      </c>
      <c r="C31" s="5">
        <f t="shared" si="1"/>
        <v>20</v>
      </c>
      <c r="D31" s="5">
        <f>NCFA[[#This Row],[n ]]-NCFA[[#This Row],[k]]</f>
        <v>0</v>
      </c>
      <c r="E31" s="5">
        <f>IF(NCFA[[#This Row],[n-k]]&lt;0,$E$11,$E$11)</f>
        <v>95</v>
      </c>
      <c r="F31" s="5">
        <f>IF(NCFA[[#This Row],[n-k]]&lt;0,0,((_xlfn.POISSON.DIST(NCFA[[#This Row],[k]],$G$7,FALSE))*100))</f>
        <v>1.7106778208184526E-7</v>
      </c>
      <c r="G31" s="5">
        <f>IF(NCFA[[#This Row],[n-k]]&lt;0,100,((_xlfn.POISSON.DIST(NCFA[[#This Row],[k]],$G$7,TRUE))*100))</f>
        <v>99.9999999646584</v>
      </c>
      <c r="H31" s="30"/>
      <c r="I31" s="30"/>
      <c r="J31" s="30"/>
      <c r="K31" s="30"/>
      <c r="L31" s="30"/>
      <c r="M31" s="30"/>
      <c r="N31" s="41"/>
    </row>
    <row r="32" spans="2:14" x14ac:dyDescent="0.3">
      <c r="B32" s="14">
        <f t="shared" si="0"/>
        <v>20</v>
      </c>
      <c r="C32" s="7">
        <f t="shared" ref="C32:C41" si="2">C31+1</f>
        <v>21</v>
      </c>
      <c r="D32" s="7">
        <f>NCFA[[#This Row],[n ]]-NCFA[[#This Row],[k]]</f>
        <v>-1</v>
      </c>
      <c r="E32" s="5">
        <f>IF(NCFA[[#This Row],[n-k]]&lt;0,$E$11,$E$11)</f>
        <v>95</v>
      </c>
      <c r="F32" s="5">
        <f>IF(NCFA[[#This Row],[n-k]]&lt;0,0,((_xlfn.POISSON.DIST(NCFA[[#This Row],[k]],$G$7,FALSE))*100))</f>
        <v>0</v>
      </c>
      <c r="G32" s="5">
        <f>IF(NCFA[[#This Row],[n-k]]&lt;0,100,((_xlfn.POISSON.DIST(NCFA[[#This Row],[k]],$G$7,TRUE))*100))</f>
        <v>100</v>
      </c>
      <c r="H32" s="30"/>
      <c r="I32" s="30"/>
      <c r="J32" s="30"/>
      <c r="K32" s="30"/>
      <c r="L32" s="30"/>
      <c r="M32" s="30"/>
      <c r="N32" s="41"/>
    </row>
    <row r="33" spans="2:14" x14ac:dyDescent="0.3">
      <c r="B33" s="14">
        <f t="shared" si="0"/>
        <v>20</v>
      </c>
      <c r="C33" s="7">
        <f t="shared" si="2"/>
        <v>22</v>
      </c>
      <c r="D33" s="7">
        <f>NCFA[[#This Row],[n ]]-NCFA[[#This Row],[k]]</f>
        <v>-2</v>
      </c>
      <c r="E33" s="5">
        <f>IF(NCFA[[#This Row],[n-k]]&lt;0,$E$11,$E$11)</f>
        <v>95</v>
      </c>
      <c r="F33" s="5">
        <f>IF(NCFA[[#This Row],[n-k]]&lt;0,0,((_xlfn.POISSON.DIST(NCFA[[#This Row],[k]],$G$7,FALSE))*100))</f>
        <v>0</v>
      </c>
      <c r="G33" s="5">
        <f>IF(NCFA[[#This Row],[n-k]]&lt;0,100,((_xlfn.POISSON.DIST(NCFA[[#This Row],[k]],$G$7,TRUE))*100))</f>
        <v>100</v>
      </c>
      <c r="H33" s="30"/>
      <c r="I33" s="30"/>
      <c r="J33" s="30"/>
      <c r="K33" s="30"/>
      <c r="L33" s="30"/>
      <c r="M33" s="30"/>
      <c r="N33" s="41"/>
    </row>
    <row r="34" spans="2:14" x14ac:dyDescent="0.3">
      <c r="B34" s="14">
        <f t="shared" si="0"/>
        <v>20</v>
      </c>
      <c r="C34" s="7">
        <f t="shared" si="2"/>
        <v>23</v>
      </c>
      <c r="D34" s="7">
        <f>NCFA[[#This Row],[n ]]-NCFA[[#This Row],[k]]</f>
        <v>-3</v>
      </c>
      <c r="E34" s="5">
        <f>IF(NCFA[[#This Row],[n-k]]&lt;0,$E$11,$E$11)</f>
        <v>95</v>
      </c>
      <c r="F34" s="5">
        <f>IF(NCFA[[#This Row],[n-k]]&lt;0,0,((_xlfn.POISSON.DIST(NCFA[[#This Row],[k]],$G$7,FALSE))*100))</f>
        <v>0</v>
      </c>
      <c r="G34" s="5">
        <f>IF(NCFA[[#This Row],[n-k]]&lt;0,100,((_xlfn.POISSON.DIST(NCFA[[#This Row],[k]],$G$7,TRUE))*100))</f>
        <v>100</v>
      </c>
      <c r="H34" s="30"/>
      <c r="I34" s="30"/>
      <c r="J34" s="30"/>
      <c r="K34" s="30"/>
      <c r="L34" s="30"/>
      <c r="M34" s="30"/>
      <c r="N34" s="41"/>
    </row>
    <row r="35" spans="2:14" x14ac:dyDescent="0.3">
      <c r="B35" s="14">
        <f t="shared" si="0"/>
        <v>20</v>
      </c>
      <c r="C35" s="7">
        <f t="shared" si="2"/>
        <v>24</v>
      </c>
      <c r="D35" s="7">
        <f>NCFA[[#This Row],[n ]]-NCFA[[#This Row],[k]]</f>
        <v>-4</v>
      </c>
      <c r="E35" s="5">
        <f>IF(NCFA[[#This Row],[n-k]]&lt;0,$E$11,$E$11)</f>
        <v>95</v>
      </c>
      <c r="F35" s="5">
        <f>IF(NCFA[[#This Row],[n-k]]&lt;0,0,((_xlfn.POISSON.DIST(NCFA[[#This Row],[k]],$G$7,FALSE))*100))</f>
        <v>0</v>
      </c>
      <c r="G35" s="5">
        <f>IF(NCFA[[#This Row],[n-k]]&lt;0,100,((_xlfn.POISSON.DIST(NCFA[[#This Row],[k]],$G$7,TRUE))*100))</f>
        <v>100</v>
      </c>
      <c r="H35" s="30"/>
      <c r="I35" s="30"/>
      <c r="J35" s="30"/>
      <c r="K35" s="30"/>
      <c r="L35" s="30"/>
      <c r="M35" s="30"/>
      <c r="N35" s="41"/>
    </row>
    <row r="36" spans="2:14" x14ac:dyDescent="0.3">
      <c r="B36" s="14">
        <f t="shared" si="0"/>
        <v>20</v>
      </c>
      <c r="C36" s="7">
        <f t="shared" si="2"/>
        <v>25</v>
      </c>
      <c r="D36" s="7">
        <f>NCFA[[#This Row],[n ]]-NCFA[[#This Row],[k]]</f>
        <v>-5</v>
      </c>
      <c r="E36" s="5">
        <f>IF(NCFA[[#This Row],[n-k]]&lt;0,$E$11,$E$11)</f>
        <v>95</v>
      </c>
      <c r="F36" s="5">
        <f>IF(NCFA[[#This Row],[n-k]]&lt;0,0,((_xlfn.POISSON.DIST(NCFA[[#This Row],[k]],$G$7,FALSE))*100))</f>
        <v>0</v>
      </c>
      <c r="G36" s="5">
        <f>IF(NCFA[[#This Row],[n-k]]&lt;0,100,((_xlfn.POISSON.DIST(NCFA[[#This Row],[k]],$G$7,TRUE))*100))</f>
        <v>100</v>
      </c>
      <c r="H36" s="30"/>
      <c r="I36" s="30"/>
      <c r="J36" s="30"/>
      <c r="K36" s="30"/>
      <c r="L36" s="30"/>
      <c r="M36" s="30"/>
      <c r="N36" s="41"/>
    </row>
    <row r="37" spans="2:14" x14ac:dyDescent="0.3">
      <c r="B37" s="14">
        <f t="shared" si="0"/>
        <v>20</v>
      </c>
      <c r="C37" s="7">
        <f t="shared" si="2"/>
        <v>26</v>
      </c>
      <c r="D37" s="7">
        <f>NCFA[[#This Row],[n ]]-NCFA[[#This Row],[k]]</f>
        <v>-6</v>
      </c>
      <c r="E37" s="5">
        <f>IF(NCFA[[#This Row],[n-k]]&lt;0,$E$11,$E$11)</f>
        <v>95</v>
      </c>
      <c r="F37" s="5">
        <f>IF(NCFA[[#This Row],[n-k]]&lt;0,0,((_xlfn.POISSON.DIST(NCFA[[#This Row],[k]],$G$7,FALSE))*100))</f>
        <v>0</v>
      </c>
      <c r="G37" s="5">
        <f>IF(NCFA[[#This Row],[n-k]]&lt;0,100,((_xlfn.POISSON.DIST(NCFA[[#This Row],[k]],$G$7,TRUE))*100))</f>
        <v>100</v>
      </c>
      <c r="H37" s="30"/>
      <c r="I37" s="30"/>
      <c r="J37" s="30"/>
      <c r="K37" s="30"/>
      <c r="L37" s="30"/>
      <c r="M37" s="30"/>
      <c r="N37" s="41"/>
    </row>
    <row r="38" spans="2:14" x14ac:dyDescent="0.3">
      <c r="B38" s="14">
        <f t="shared" si="0"/>
        <v>20</v>
      </c>
      <c r="C38" s="7">
        <f t="shared" si="2"/>
        <v>27</v>
      </c>
      <c r="D38" s="7">
        <f>NCFA[[#This Row],[n ]]-NCFA[[#This Row],[k]]</f>
        <v>-7</v>
      </c>
      <c r="E38" s="5">
        <f>IF(NCFA[[#This Row],[n-k]]&lt;0,$E$11,$E$11)</f>
        <v>95</v>
      </c>
      <c r="F38" s="5">
        <f>IF(NCFA[[#This Row],[n-k]]&lt;0,0,((_xlfn.POISSON.DIST(NCFA[[#This Row],[k]],$G$7,FALSE))*100))</f>
        <v>0</v>
      </c>
      <c r="G38" s="5">
        <f>IF(NCFA[[#This Row],[n-k]]&lt;0,100,((_xlfn.POISSON.DIST(NCFA[[#This Row],[k]],$G$7,TRUE))*100))</f>
        <v>100</v>
      </c>
      <c r="H38" s="30"/>
      <c r="I38" s="30"/>
      <c r="J38" s="30"/>
      <c r="K38" s="30"/>
      <c r="L38" s="30"/>
      <c r="M38" s="30"/>
      <c r="N38" s="41"/>
    </row>
    <row r="39" spans="2:14" x14ac:dyDescent="0.3">
      <c r="B39" s="14">
        <f t="shared" si="0"/>
        <v>20</v>
      </c>
      <c r="C39" s="7">
        <f t="shared" si="2"/>
        <v>28</v>
      </c>
      <c r="D39" s="7">
        <f>NCFA[[#This Row],[n ]]-NCFA[[#This Row],[k]]</f>
        <v>-8</v>
      </c>
      <c r="E39" s="5">
        <f>IF(NCFA[[#This Row],[n-k]]&lt;0,$E$11,$E$11)</f>
        <v>95</v>
      </c>
      <c r="F39" s="5">
        <f>IF(NCFA[[#This Row],[n-k]]&lt;0,0,((_xlfn.POISSON.DIST(NCFA[[#This Row],[k]],$G$7,FALSE))*100))</f>
        <v>0</v>
      </c>
      <c r="G39" s="5">
        <f>IF(NCFA[[#This Row],[n-k]]&lt;0,100,((_xlfn.POISSON.DIST(NCFA[[#This Row],[k]],$G$7,TRUE))*100))</f>
        <v>100</v>
      </c>
      <c r="H39" s="30"/>
      <c r="I39" s="30"/>
      <c r="J39" s="30"/>
      <c r="K39" s="30"/>
      <c r="L39" s="30"/>
      <c r="M39" s="30"/>
      <c r="N39" s="41"/>
    </row>
    <row r="40" spans="2:14" x14ac:dyDescent="0.3">
      <c r="B40" s="14">
        <f t="shared" si="0"/>
        <v>20</v>
      </c>
      <c r="C40" s="7">
        <f t="shared" si="2"/>
        <v>29</v>
      </c>
      <c r="D40" s="7">
        <f>NCFA[[#This Row],[n ]]-NCFA[[#This Row],[k]]</f>
        <v>-9</v>
      </c>
      <c r="E40" s="5">
        <f>IF(NCFA[[#This Row],[n-k]]&lt;0,$E$11,$E$11)</f>
        <v>95</v>
      </c>
      <c r="F40" s="5">
        <f>IF(NCFA[[#This Row],[n-k]]&lt;0,0,((_xlfn.POISSON.DIST(NCFA[[#This Row],[k]],$G$7,FALSE))*100))</f>
        <v>0</v>
      </c>
      <c r="G40" s="5">
        <f>IF(NCFA[[#This Row],[n-k]]&lt;0,100,((_xlfn.POISSON.DIST(NCFA[[#This Row],[k]],$G$7,TRUE))*100))</f>
        <v>100</v>
      </c>
      <c r="H40" s="30"/>
      <c r="I40" s="30"/>
      <c r="J40" s="30"/>
      <c r="K40" s="30"/>
      <c r="L40" s="30"/>
      <c r="M40" s="30"/>
      <c r="N40" s="41"/>
    </row>
    <row r="41" spans="2:14" x14ac:dyDescent="0.3">
      <c r="B41" s="14">
        <f t="shared" si="0"/>
        <v>20</v>
      </c>
      <c r="C41" s="7">
        <f t="shared" si="2"/>
        <v>30</v>
      </c>
      <c r="D41" s="7">
        <f>NCFA[[#This Row],[n ]]-NCFA[[#This Row],[k]]</f>
        <v>-10</v>
      </c>
      <c r="E41" s="5">
        <f>IF(NCFA[[#This Row],[n-k]]&lt;0,$E$11,$E$11)</f>
        <v>95</v>
      </c>
      <c r="F41" s="5">
        <f>IF(NCFA[[#This Row],[n-k]]&lt;0,0,((_xlfn.POISSON.DIST(NCFA[[#This Row],[k]],$G$7,FALSE))*100))</f>
        <v>0</v>
      </c>
      <c r="G41" s="5">
        <f>IF(NCFA[[#This Row],[n-k]]&lt;0,100,((_xlfn.POISSON.DIST(NCFA[[#This Row],[k]],$G$7,TRUE))*100))</f>
        <v>100</v>
      </c>
      <c r="H41" s="30"/>
      <c r="I41" s="30"/>
      <c r="J41" s="30"/>
      <c r="K41" s="30"/>
      <c r="L41" s="30"/>
      <c r="M41" s="30"/>
      <c r="N41" s="41"/>
    </row>
    <row r="42" spans="2:14" x14ac:dyDescent="0.3">
      <c r="B42" s="14">
        <f t="shared" si="0"/>
        <v>20</v>
      </c>
      <c r="C42" s="5">
        <f t="shared" ref="C42:C51" si="3">C41+1</f>
        <v>31</v>
      </c>
      <c r="D42" s="5">
        <f>NCFA[[#This Row],[n ]]-NCFA[[#This Row],[k]]</f>
        <v>-11</v>
      </c>
      <c r="E42" s="5">
        <f>IF(NCFA[[#This Row],[n-k]]&lt;0,$E$11,$E$11)</f>
        <v>95</v>
      </c>
      <c r="F42" s="5">
        <f>IF(NCFA[[#This Row],[n-k]]&lt;0,0,((_xlfn.POISSON.DIST(NCFA[[#This Row],[k]],$G$7,FALSE))*100))</f>
        <v>0</v>
      </c>
      <c r="G42" s="5">
        <f>IF(NCFA[[#This Row],[n-k]]&lt;0,100,((_xlfn.POISSON.DIST(NCFA[[#This Row],[k]],$G$7,TRUE))*100))</f>
        <v>100</v>
      </c>
      <c r="H42" s="30"/>
      <c r="I42" s="30"/>
      <c r="J42" s="30"/>
      <c r="K42" s="30"/>
      <c r="L42" s="30"/>
      <c r="M42" s="30"/>
      <c r="N42" s="41"/>
    </row>
    <row r="43" spans="2:14" x14ac:dyDescent="0.3">
      <c r="B43" s="14">
        <f t="shared" si="0"/>
        <v>20</v>
      </c>
      <c r="C43" s="7">
        <f t="shared" si="3"/>
        <v>32</v>
      </c>
      <c r="D43" s="7">
        <f>NCFA[[#This Row],[n ]]-NCFA[[#This Row],[k]]</f>
        <v>-12</v>
      </c>
      <c r="E43" s="5">
        <f>IF(NCFA[[#This Row],[n-k]]&lt;0,$E$11,$E$11)</f>
        <v>95</v>
      </c>
      <c r="F43" s="5">
        <f>IF(NCFA[[#This Row],[n-k]]&lt;0,0,((_xlfn.POISSON.DIST(NCFA[[#This Row],[k]],$G$7,FALSE))*100))</f>
        <v>0</v>
      </c>
      <c r="G43" s="5">
        <f>IF(NCFA[[#This Row],[n-k]]&lt;0,100,((_xlfn.POISSON.DIST(NCFA[[#This Row],[k]],$G$7,TRUE))*100))</f>
        <v>100</v>
      </c>
      <c r="H43" s="30"/>
      <c r="I43" s="30"/>
      <c r="J43" s="30"/>
      <c r="K43" s="30"/>
      <c r="L43" s="30"/>
      <c r="M43" s="30"/>
      <c r="N43" s="41"/>
    </row>
    <row r="44" spans="2:14" x14ac:dyDescent="0.3">
      <c r="B44" s="14">
        <f t="shared" si="0"/>
        <v>20</v>
      </c>
      <c r="C44" s="7">
        <f t="shared" si="3"/>
        <v>33</v>
      </c>
      <c r="D44" s="7">
        <f>NCFA[[#This Row],[n ]]-NCFA[[#This Row],[k]]</f>
        <v>-13</v>
      </c>
      <c r="E44" s="5">
        <f>IF(NCFA[[#This Row],[n-k]]&lt;0,$E$11,$E$11)</f>
        <v>95</v>
      </c>
      <c r="F44" s="5">
        <f>IF(NCFA[[#This Row],[n-k]]&lt;0,0,((_xlfn.POISSON.DIST(NCFA[[#This Row],[k]],$G$7,FALSE))*100))</f>
        <v>0</v>
      </c>
      <c r="G44" s="5">
        <f>IF(NCFA[[#This Row],[n-k]]&lt;0,100,((_xlfn.POISSON.DIST(NCFA[[#This Row],[k]],$G$7,TRUE))*100))</f>
        <v>100</v>
      </c>
      <c r="H44" s="30"/>
      <c r="I44" s="30"/>
      <c r="J44" s="30"/>
      <c r="K44" s="30"/>
      <c r="L44" s="30"/>
      <c r="M44" s="30"/>
      <c r="N44" s="41"/>
    </row>
    <row r="45" spans="2:14" x14ac:dyDescent="0.3">
      <c r="B45" s="14">
        <f t="shared" si="0"/>
        <v>20</v>
      </c>
      <c r="C45" s="7">
        <f t="shared" si="3"/>
        <v>34</v>
      </c>
      <c r="D45" s="7">
        <f>NCFA[[#This Row],[n ]]-NCFA[[#This Row],[k]]</f>
        <v>-14</v>
      </c>
      <c r="E45" s="5">
        <f>IF(NCFA[[#This Row],[n-k]]&lt;0,$E$11,$E$11)</f>
        <v>95</v>
      </c>
      <c r="F45" s="5">
        <f>IF(NCFA[[#This Row],[n-k]]&lt;0,0,((_xlfn.POISSON.DIST(NCFA[[#This Row],[k]],$G$7,FALSE))*100))</f>
        <v>0</v>
      </c>
      <c r="G45" s="5">
        <f>IF(NCFA[[#This Row],[n-k]]&lt;0,100,((_xlfn.POISSON.DIST(NCFA[[#This Row],[k]],$G$7,TRUE))*100))</f>
        <v>100</v>
      </c>
      <c r="H45" s="30"/>
      <c r="I45" s="30"/>
      <c r="J45" s="30"/>
      <c r="K45" s="30"/>
      <c r="L45" s="30"/>
      <c r="M45" s="30"/>
      <c r="N45" s="41"/>
    </row>
    <row r="46" spans="2:14" x14ac:dyDescent="0.3">
      <c r="B46" s="14">
        <f t="shared" si="0"/>
        <v>20</v>
      </c>
      <c r="C46" s="7">
        <f t="shared" si="3"/>
        <v>35</v>
      </c>
      <c r="D46" s="7">
        <f>NCFA[[#This Row],[n ]]-NCFA[[#This Row],[k]]</f>
        <v>-15</v>
      </c>
      <c r="E46" s="5">
        <f>IF(NCFA[[#This Row],[n-k]]&lt;0,$E$11,$E$11)</f>
        <v>95</v>
      </c>
      <c r="F46" s="5">
        <f>IF(NCFA[[#This Row],[n-k]]&lt;0,0,((_xlfn.POISSON.DIST(NCFA[[#This Row],[k]],$G$7,FALSE))*100))</f>
        <v>0</v>
      </c>
      <c r="G46" s="5">
        <f>IF(NCFA[[#This Row],[n-k]]&lt;0,100,((_xlfn.POISSON.DIST(NCFA[[#This Row],[k]],$G$7,TRUE))*100))</f>
        <v>100</v>
      </c>
      <c r="H46" s="30"/>
      <c r="I46" s="30"/>
      <c r="J46" s="30"/>
      <c r="K46" s="30"/>
      <c r="L46" s="30"/>
      <c r="M46" s="30"/>
      <c r="N46" s="41"/>
    </row>
    <row r="47" spans="2:14" x14ac:dyDescent="0.3">
      <c r="B47" s="14">
        <f t="shared" si="0"/>
        <v>20</v>
      </c>
      <c r="C47" s="7">
        <f t="shared" si="3"/>
        <v>36</v>
      </c>
      <c r="D47" s="7">
        <f>NCFA[[#This Row],[n ]]-NCFA[[#This Row],[k]]</f>
        <v>-16</v>
      </c>
      <c r="E47" s="5">
        <f>IF(NCFA[[#This Row],[n-k]]&lt;0,$E$11,$E$11)</f>
        <v>95</v>
      </c>
      <c r="F47" s="5">
        <f>IF(NCFA[[#This Row],[n-k]]&lt;0,0,((_xlfn.POISSON.DIST(NCFA[[#This Row],[k]],$G$7,FALSE))*100))</f>
        <v>0</v>
      </c>
      <c r="G47" s="5">
        <f>IF(NCFA[[#This Row],[n-k]]&lt;0,100,((_xlfn.POISSON.DIST(NCFA[[#This Row],[k]],$G$7,TRUE))*100))</f>
        <v>100</v>
      </c>
      <c r="H47" s="30"/>
      <c r="I47" s="30"/>
      <c r="J47" s="30"/>
      <c r="K47" s="30"/>
      <c r="L47" s="30"/>
      <c r="M47" s="30"/>
      <c r="N47" s="41"/>
    </row>
    <row r="48" spans="2:14" x14ac:dyDescent="0.3">
      <c r="B48" s="14">
        <f t="shared" si="0"/>
        <v>20</v>
      </c>
      <c r="C48" s="7">
        <f t="shared" si="3"/>
        <v>37</v>
      </c>
      <c r="D48" s="7">
        <f>NCFA[[#This Row],[n ]]-NCFA[[#This Row],[k]]</f>
        <v>-17</v>
      </c>
      <c r="E48" s="5">
        <f>IF(NCFA[[#This Row],[n-k]]&lt;0,$E$11,$E$11)</f>
        <v>95</v>
      </c>
      <c r="F48" s="5">
        <f>IF(NCFA[[#This Row],[n-k]]&lt;0,0,((_xlfn.POISSON.DIST(NCFA[[#This Row],[k]],$G$7,FALSE))*100))</f>
        <v>0</v>
      </c>
      <c r="G48" s="5">
        <f>IF(NCFA[[#This Row],[n-k]]&lt;0,100,((_xlfn.POISSON.DIST(NCFA[[#This Row],[k]],$G$7,TRUE))*100))</f>
        <v>100</v>
      </c>
      <c r="H48" s="30"/>
      <c r="I48" s="30"/>
      <c r="J48" s="30"/>
      <c r="K48" s="30"/>
      <c r="L48" s="30"/>
      <c r="M48" s="30"/>
      <c r="N48" s="41"/>
    </row>
    <row r="49" spans="2:14" x14ac:dyDescent="0.3">
      <c r="B49" s="14">
        <f t="shared" si="0"/>
        <v>20</v>
      </c>
      <c r="C49" s="7">
        <f t="shared" si="3"/>
        <v>38</v>
      </c>
      <c r="D49" s="7">
        <f>NCFA[[#This Row],[n ]]-NCFA[[#This Row],[k]]</f>
        <v>-18</v>
      </c>
      <c r="E49" s="5">
        <f>IF(NCFA[[#This Row],[n-k]]&lt;0,$E$11,$E$11)</f>
        <v>95</v>
      </c>
      <c r="F49" s="5">
        <f>IF(NCFA[[#This Row],[n-k]]&lt;0,0,((_xlfn.POISSON.DIST(NCFA[[#This Row],[k]],$G$7,FALSE))*100))</f>
        <v>0</v>
      </c>
      <c r="G49" s="5">
        <f>IF(NCFA[[#This Row],[n-k]]&lt;0,100,((_xlfn.POISSON.DIST(NCFA[[#This Row],[k]],$G$7,TRUE))*100))</f>
        <v>100</v>
      </c>
      <c r="H49" s="30"/>
      <c r="I49" s="30"/>
      <c r="J49" s="30"/>
      <c r="K49" s="30"/>
      <c r="L49" s="30"/>
      <c r="M49" s="30"/>
      <c r="N49" s="41"/>
    </row>
    <row r="50" spans="2:14" x14ac:dyDescent="0.3">
      <c r="B50" s="14">
        <f t="shared" si="0"/>
        <v>20</v>
      </c>
      <c r="C50" s="7">
        <f t="shared" si="3"/>
        <v>39</v>
      </c>
      <c r="D50" s="7">
        <f>NCFA[[#This Row],[n ]]-NCFA[[#This Row],[k]]</f>
        <v>-19</v>
      </c>
      <c r="E50" s="5">
        <f>IF(NCFA[[#This Row],[n-k]]&lt;0,$E$11,$E$11)</f>
        <v>95</v>
      </c>
      <c r="F50" s="5">
        <f>IF(NCFA[[#This Row],[n-k]]&lt;0,0,((_xlfn.POISSON.DIST(NCFA[[#This Row],[k]],$G$7,FALSE))*100))</f>
        <v>0</v>
      </c>
      <c r="G50" s="5">
        <f>IF(NCFA[[#This Row],[n-k]]&lt;0,100,((_xlfn.POISSON.DIST(NCFA[[#This Row],[k]],$G$7,TRUE))*100))</f>
        <v>100</v>
      </c>
      <c r="H50" s="30"/>
      <c r="I50" s="30"/>
      <c r="J50" s="30"/>
      <c r="K50" s="30"/>
      <c r="L50" s="30"/>
      <c r="M50" s="30"/>
      <c r="N50" s="41"/>
    </row>
    <row r="51" spans="2:14" x14ac:dyDescent="0.3">
      <c r="B51" s="14">
        <f t="shared" si="0"/>
        <v>20</v>
      </c>
      <c r="C51" s="7">
        <f t="shared" si="3"/>
        <v>40</v>
      </c>
      <c r="D51" s="7">
        <f>NCFA[[#This Row],[n ]]-NCFA[[#This Row],[k]]</f>
        <v>-20</v>
      </c>
      <c r="E51" s="5">
        <f>IF(NCFA[[#This Row],[n-k]]&lt;0,$E$11,$E$11)</f>
        <v>95</v>
      </c>
      <c r="F51" s="5">
        <f>IF(NCFA[[#This Row],[n-k]]&lt;0,0,((_xlfn.POISSON.DIST(NCFA[[#This Row],[k]],$G$7,FALSE))*100))</f>
        <v>0</v>
      </c>
      <c r="G51" s="5">
        <f>IF(NCFA[[#This Row],[n-k]]&lt;0,100,((_xlfn.POISSON.DIST(NCFA[[#This Row],[k]],$G$7,TRUE))*100))</f>
        <v>100</v>
      </c>
      <c r="H51" s="30"/>
      <c r="I51" s="30"/>
      <c r="J51" s="30"/>
      <c r="K51" s="30"/>
      <c r="L51" s="30"/>
      <c r="M51" s="30"/>
      <c r="N51" s="41"/>
    </row>
    <row r="52" spans="2:14" ht="21" x14ac:dyDescent="0.3">
      <c r="B52" s="42" t="s">
        <v>28</v>
      </c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4"/>
    </row>
    <row r="53" spans="2:14" ht="49.5" customHeight="1" x14ac:dyDescent="0.3">
      <c r="B53" s="12" t="s">
        <v>29</v>
      </c>
      <c r="C53" s="49">
        <v>451730</v>
      </c>
      <c r="D53" s="49"/>
      <c r="E53" s="1" t="s">
        <v>30</v>
      </c>
      <c r="F53" s="8">
        <v>0.06</v>
      </c>
      <c r="G53" s="1" t="s">
        <v>31</v>
      </c>
      <c r="H53" s="8">
        <v>0.1</v>
      </c>
      <c r="I53" s="1" t="s">
        <v>32</v>
      </c>
      <c r="J53" s="8">
        <v>0.03</v>
      </c>
      <c r="K53" s="1" t="s">
        <v>33</v>
      </c>
      <c r="L53" s="8">
        <v>0.02</v>
      </c>
      <c r="M53" s="1" t="s">
        <v>34</v>
      </c>
      <c r="N53" s="15">
        <v>0.15</v>
      </c>
    </row>
    <row r="54" spans="2:14" ht="77.25" customHeight="1" x14ac:dyDescent="0.3">
      <c r="B54" s="12" t="s">
        <v>37</v>
      </c>
      <c r="C54" s="1" t="s">
        <v>35</v>
      </c>
      <c r="D54" s="1" t="s">
        <v>36</v>
      </c>
      <c r="E54" s="1" t="s">
        <v>38</v>
      </c>
      <c r="F54" s="1" t="s">
        <v>39</v>
      </c>
      <c r="G54" s="1" t="s">
        <v>40</v>
      </c>
      <c r="H54" s="30"/>
      <c r="I54" s="30"/>
      <c r="J54" s="30"/>
      <c r="K54" s="30"/>
      <c r="L54" s="30"/>
      <c r="M54" s="30"/>
      <c r="N54" s="41"/>
    </row>
    <row r="55" spans="2:14" x14ac:dyDescent="0.3">
      <c r="B55" s="14">
        <v>1</v>
      </c>
      <c r="C55" s="9">
        <f>IF(Tabla9[[#This Row],[CANTIDAD DE REPUESTOS]]&lt;=B11,Tabla9[[#This Row],[CANTIDAD DE REPUESTOS]]*$C$53,Tabla9[[#This Row],[CANTIDAD DE REPUESTOS]]*$C$53)</f>
        <v>451730</v>
      </c>
      <c r="D55" s="9">
        <f>IF(Tabla9[[#This Row],[CANTIDAD DE REPUESTOS]]&lt;=B11,$C$53*$F$53*Tabla9[[#This Row],[CANTIDAD DE REPUESTOS]],$C$53*$F$53*Tabla9[[#This Row],[CANTIDAD DE REPUESTOS]])</f>
        <v>27103.8</v>
      </c>
      <c r="E55" s="9">
        <f>IF(Tabla9[[#This Row],[CANTIDAD DE REPUESTOS]]&lt;=B11,$C$53*$N$53*Tabla9[[#This Row],[CANTIDAD DE REPUESTOS]],$C$53*$N$53*Tabla9[[#This Row],[CANTIDAD DE REPUESTOS]])</f>
        <v>67759.5</v>
      </c>
      <c r="F55" s="9">
        <f>IF(Tabla9[[#This Row],[CANTIDAD DE REPUESTOS]]&lt;=B11,Tabla9[[#This Row],[CANTIDAD DE REPUESTOS]]*($C$53)*($H$53+$J$53+$L$53),Tabla9[[#This Row],[CANTIDAD DE REPUESTOS]]*($C$53)*($H$53+$J$53+$L$53))</f>
        <v>67759.5</v>
      </c>
      <c r="G55" s="9">
        <f>Tabla9[[#This Row],[COSTO DE COMPRA REPUESTOS]]+Tabla9[[#This Row],[COSTO DE ALMACENAMIENTO]]+Tabla9[[#This Row],[COSTO DE TRANSPORTE]]+Tabla9[[#This Row],[COSTOS DE IMPUESTOS Y OBSOLECENCIA]]</f>
        <v>614352.80000000005</v>
      </c>
      <c r="H55" s="30"/>
      <c r="I55" s="30"/>
      <c r="J55" s="30"/>
      <c r="K55" s="30"/>
      <c r="L55" s="30"/>
      <c r="M55" s="30"/>
      <c r="N55" s="41"/>
    </row>
    <row r="56" spans="2:14" x14ac:dyDescent="0.3">
      <c r="B56" s="14">
        <f>B55+1</f>
        <v>2</v>
      </c>
      <c r="C56" s="9">
        <f>IF(Tabla9[[#This Row],[CANTIDAD DE REPUESTOS]]&lt;=B12,Tabla9[[#This Row],[CANTIDAD DE REPUESTOS]]*$C$53,Tabla9[[#This Row],[CANTIDAD DE REPUESTOS]]*$C$53)</f>
        <v>903460</v>
      </c>
      <c r="D56" s="9">
        <f>IF(Tabla9[[#This Row],[CANTIDAD DE REPUESTOS]]&lt;=B12,$C$53*$F$53*Tabla9[[#This Row],[CANTIDAD DE REPUESTOS]],$C$53*$F$53*Tabla9[[#This Row],[CANTIDAD DE REPUESTOS]])</f>
        <v>54207.6</v>
      </c>
      <c r="E56" s="9">
        <f>IF(Tabla9[[#This Row],[CANTIDAD DE REPUESTOS]]&lt;=B12,$C$53*$N$53*Tabla9[[#This Row],[CANTIDAD DE REPUESTOS]],$C$53*$N$53*Tabla9[[#This Row],[CANTIDAD DE REPUESTOS]])</f>
        <v>135519</v>
      </c>
      <c r="F56" s="9">
        <f>IF(Tabla9[[#This Row],[CANTIDAD DE REPUESTOS]]&lt;=B12,Tabla9[[#This Row],[CANTIDAD DE REPUESTOS]]*($C$53)*($H$53+$J$53+$L$53),Tabla9[[#This Row],[CANTIDAD DE REPUESTOS]]*($C$53)*($H$53+$J$53+$L$53))</f>
        <v>135519</v>
      </c>
      <c r="G56" s="9">
        <f>Tabla9[[#This Row],[COSTO DE COMPRA REPUESTOS]]+Tabla9[[#This Row],[COSTO DE ALMACENAMIENTO]]+Tabla9[[#This Row],[COSTO DE TRANSPORTE]]+Tabla9[[#This Row],[COSTOS DE IMPUESTOS Y OBSOLECENCIA]]</f>
        <v>1228705.6000000001</v>
      </c>
      <c r="H56" s="30"/>
      <c r="I56" s="30"/>
      <c r="J56" s="30"/>
      <c r="K56" s="30"/>
      <c r="L56" s="30"/>
      <c r="M56" s="30"/>
      <c r="N56" s="41"/>
    </row>
    <row r="57" spans="2:14" x14ac:dyDescent="0.3">
      <c r="B57" s="14">
        <f t="shared" ref="B57:B93" si="4">B56+1</f>
        <v>3</v>
      </c>
      <c r="C57" s="9">
        <f>IF(Tabla9[[#This Row],[CANTIDAD DE REPUESTOS]]&lt;=B13,Tabla9[[#This Row],[CANTIDAD DE REPUESTOS]]*$C$53,Tabla9[[#This Row],[CANTIDAD DE REPUESTOS]]*$C$53)</f>
        <v>1355190</v>
      </c>
      <c r="D57" s="9">
        <f>IF(Tabla9[[#This Row],[CANTIDAD DE REPUESTOS]]&lt;=B13,$C$53*$F$53*Tabla9[[#This Row],[CANTIDAD DE REPUESTOS]],$C$53*$F$53*Tabla9[[#This Row],[CANTIDAD DE REPUESTOS]])</f>
        <v>81311.399999999994</v>
      </c>
      <c r="E57" s="9">
        <f>IF(Tabla9[[#This Row],[CANTIDAD DE REPUESTOS]]&lt;=B13,$C$53*$N$53*Tabla9[[#This Row],[CANTIDAD DE REPUESTOS]],$C$53*$N$53*Tabla9[[#This Row],[CANTIDAD DE REPUESTOS]])</f>
        <v>203278.5</v>
      </c>
      <c r="F57" s="9">
        <f>IF(Tabla9[[#This Row],[CANTIDAD DE REPUESTOS]]&lt;=B13,Tabla9[[#This Row],[CANTIDAD DE REPUESTOS]]*($C$53)*($H$53+$J$53+$L$53),Tabla9[[#This Row],[CANTIDAD DE REPUESTOS]]*($C$53)*($H$53+$J$53+$L$53))</f>
        <v>203278.5</v>
      </c>
      <c r="G57" s="9">
        <f>Tabla9[[#This Row],[COSTO DE COMPRA REPUESTOS]]+Tabla9[[#This Row],[COSTO DE ALMACENAMIENTO]]+Tabla9[[#This Row],[COSTO DE TRANSPORTE]]+Tabla9[[#This Row],[COSTOS DE IMPUESTOS Y OBSOLECENCIA]]</f>
        <v>1843058.4</v>
      </c>
      <c r="H57" s="30"/>
      <c r="I57" s="30"/>
      <c r="J57" s="30"/>
      <c r="K57" s="30"/>
      <c r="L57" s="30"/>
      <c r="M57" s="30"/>
      <c r="N57" s="41"/>
    </row>
    <row r="58" spans="2:14" x14ac:dyDescent="0.3">
      <c r="B58" s="14">
        <f t="shared" si="4"/>
        <v>4</v>
      </c>
      <c r="C58" s="9">
        <f>IF(Tabla9[[#This Row],[CANTIDAD DE REPUESTOS]]&lt;=B14,Tabla9[[#This Row],[CANTIDAD DE REPUESTOS]]*$C$53,Tabla9[[#This Row],[CANTIDAD DE REPUESTOS]]*$C$53)</f>
        <v>1806920</v>
      </c>
      <c r="D58" s="9">
        <f>IF(Tabla9[[#This Row],[CANTIDAD DE REPUESTOS]]&lt;=B14,$C$53*$F$53*Tabla9[[#This Row],[CANTIDAD DE REPUESTOS]],$C$53*$F$53*Tabla9[[#This Row],[CANTIDAD DE REPUESTOS]])</f>
        <v>108415.2</v>
      </c>
      <c r="E58" s="9">
        <f>IF(Tabla9[[#This Row],[CANTIDAD DE REPUESTOS]]&lt;=B14,$C$53*$N$53*Tabla9[[#This Row],[CANTIDAD DE REPUESTOS]],$C$53*$N$53*Tabla9[[#This Row],[CANTIDAD DE REPUESTOS]])</f>
        <v>271038</v>
      </c>
      <c r="F58" s="9">
        <f>IF(Tabla9[[#This Row],[CANTIDAD DE REPUESTOS]]&lt;=B14,Tabla9[[#This Row],[CANTIDAD DE REPUESTOS]]*($C$53)*($H$53+$J$53+$L$53),Tabla9[[#This Row],[CANTIDAD DE REPUESTOS]]*($C$53)*($H$53+$J$53+$L$53))</f>
        <v>271038</v>
      </c>
      <c r="G58" s="9">
        <f>Tabla9[[#This Row],[COSTO DE COMPRA REPUESTOS]]+Tabla9[[#This Row],[COSTO DE ALMACENAMIENTO]]+Tabla9[[#This Row],[COSTO DE TRANSPORTE]]+Tabla9[[#This Row],[COSTOS DE IMPUESTOS Y OBSOLECENCIA]]</f>
        <v>2457411.2000000002</v>
      </c>
      <c r="H58" s="30"/>
      <c r="I58" s="30"/>
      <c r="J58" s="30"/>
      <c r="K58" s="30"/>
      <c r="L58" s="30"/>
      <c r="M58" s="30"/>
      <c r="N58" s="41"/>
    </row>
    <row r="59" spans="2:14" x14ac:dyDescent="0.3">
      <c r="B59" s="14">
        <f t="shared" si="4"/>
        <v>5</v>
      </c>
      <c r="C59" s="9">
        <f>IF(Tabla9[[#This Row],[CANTIDAD DE REPUESTOS]]&lt;=B15,Tabla9[[#This Row],[CANTIDAD DE REPUESTOS]]*$C$53,Tabla9[[#This Row],[CANTIDAD DE REPUESTOS]]*$C$53)</f>
        <v>2258650</v>
      </c>
      <c r="D59" s="9">
        <f>IF(Tabla9[[#This Row],[CANTIDAD DE REPUESTOS]]&lt;=B15,$C$53*$F$53*Tabla9[[#This Row],[CANTIDAD DE REPUESTOS]],$C$53*$F$53*Tabla9[[#This Row],[CANTIDAD DE REPUESTOS]])</f>
        <v>135519</v>
      </c>
      <c r="E59" s="9">
        <f>IF(Tabla9[[#This Row],[CANTIDAD DE REPUESTOS]]&lt;=B15,$C$53*$N$53*Tabla9[[#This Row],[CANTIDAD DE REPUESTOS]],$C$53*$N$53*Tabla9[[#This Row],[CANTIDAD DE REPUESTOS]])</f>
        <v>338797.5</v>
      </c>
      <c r="F59" s="9">
        <f>IF(Tabla9[[#This Row],[CANTIDAD DE REPUESTOS]]&lt;=B15,Tabla9[[#This Row],[CANTIDAD DE REPUESTOS]]*($C$53)*($H$53+$J$53+$L$53),Tabla9[[#This Row],[CANTIDAD DE REPUESTOS]]*($C$53)*($H$53+$J$53+$L$53))</f>
        <v>338797.5</v>
      </c>
      <c r="G59" s="9">
        <f>Tabla9[[#This Row],[COSTO DE COMPRA REPUESTOS]]+Tabla9[[#This Row],[COSTO DE ALMACENAMIENTO]]+Tabla9[[#This Row],[COSTO DE TRANSPORTE]]+Tabla9[[#This Row],[COSTOS DE IMPUESTOS Y OBSOLECENCIA]]</f>
        <v>3071764</v>
      </c>
      <c r="H59" s="30"/>
      <c r="I59" s="30"/>
      <c r="J59" s="30"/>
      <c r="K59" s="30"/>
      <c r="L59" s="30"/>
      <c r="M59" s="30"/>
      <c r="N59" s="41"/>
    </row>
    <row r="60" spans="2:14" x14ac:dyDescent="0.3">
      <c r="B60" s="14">
        <f t="shared" si="4"/>
        <v>6</v>
      </c>
      <c r="C60" s="9">
        <f>IF(Tabla9[[#This Row],[CANTIDAD DE REPUESTOS]]&lt;=B16,Tabla9[[#This Row],[CANTIDAD DE REPUESTOS]]*$C$53,Tabla9[[#This Row],[CANTIDAD DE REPUESTOS]]*$C$53)</f>
        <v>2710380</v>
      </c>
      <c r="D60" s="9">
        <f>IF(Tabla9[[#This Row],[CANTIDAD DE REPUESTOS]]&lt;=B16,$C$53*$F$53*Tabla9[[#This Row],[CANTIDAD DE REPUESTOS]],$C$53*$F$53*Tabla9[[#This Row],[CANTIDAD DE REPUESTOS]])</f>
        <v>162622.79999999999</v>
      </c>
      <c r="E60" s="9">
        <f>IF(Tabla9[[#This Row],[CANTIDAD DE REPUESTOS]]&lt;=B16,$C$53*$N$53*Tabla9[[#This Row],[CANTIDAD DE REPUESTOS]],$C$53*$N$53*Tabla9[[#This Row],[CANTIDAD DE REPUESTOS]])</f>
        <v>406557</v>
      </c>
      <c r="F60" s="9">
        <f>IF(Tabla9[[#This Row],[CANTIDAD DE REPUESTOS]]&lt;=B16,Tabla9[[#This Row],[CANTIDAD DE REPUESTOS]]*($C$53)*($H$53+$J$53+$L$53),Tabla9[[#This Row],[CANTIDAD DE REPUESTOS]]*($C$53)*($H$53+$J$53+$L$53))</f>
        <v>406557</v>
      </c>
      <c r="G60" s="9">
        <f>Tabla9[[#This Row],[COSTO DE COMPRA REPUESTOS]]+Tabla9[[#This Row],[COSTO DE ALMACENAMIENTO]]+Tabla9[[#This Row],[COSTO DE TRANSPORTE]]+Tabla9[[#This Row],[COSTOS DE IMPUESTOS Y OBSOLECENCIA]]</f>
        <v>3686116.8</v>
      </c>
      <c r="H60" s="30"/>
      <c r="I60" s="30"/>
      <c r="J60" s="30"/>
      <c r="K60" s="30"/>
      <c r="L60" s="30"/>
      <c r="M60" s="30"/>
      <c r="N60" s="41"/>
    </row>
    <row r="61" spans="2:14" x14ac:dyDescent="0.3">
      <c r="B61" s="14">
        <f t="shared" si="4"/>
        <v>7</v>
      </c>
      <c r="C61" s="9">
        <f>IF(Tabla9[[#This Row],[CANTIDAD DE REPUESTOS]]&lt;=B17,Tabla9[[#This Row],[CANTIDAD DE REPUESTOS]]*$C$53,Tabla9[[#This Row],[CANTIDAD DE REPUESTOS]]*$C$53)</f>
        <v>3162110</v>
      </c>
      <c r="D61" s="9">
        <f>IF(Tabla9[[#This Row],[CANTIDAD DE REPUESTOS]]&lt;=B17,$C$53*$F$53*Tabla9[[#This Row],[CANTIDAD DE REPUESTOS]],$C$53*$F$53*Tabla9[[#This Row],[CANTIDAD DE REPUESTOS]])</f>
        <v>189726.6</v>
      </c>
      <c r="E61" s="9">
        <f>IF(Tabla9[[#This Row],[CANTIDAD DE REPUESTOS]]&lt;=B17,$C$53*$N$53*Tabla9[[#This Row],[CANTIDAD DE REPUESTOS]],$C$53*$N$53*Tabla9[[#This Row],[CANTIDAD DE REPUESTOS]])</f>
        <v>474316.5</v>
      </c>
      <c r="F61" s="9">
        <f>IF(Tabla9[[#This Row],[CANTIDAD DE REPUESTOS]]&lt;=B17,Tabla9[[#This Row],[CANTIDAD DE REPUESTOS]]*($C$53)*($H$53+$J$53+$L$53),Tabla9[[#This Row],[CANTIDAD DE REPUESTOS]]*($C$53)*($H$53+$J$53+$L$53))</f>
        <v>474316.5</v>
      </c>
      <c r="G61" s="9">
        <f>Tabla9[[#This Row],[COSTO DE COMPRA REPUESTOS]]+Tabla9[[#This Row],[COSTO DE ALMACENAMIENTO]]+Tabla9[[#This Row],[COSTO DE TRANSPORTE]]+Tabla9[[#This Row],[COSTOS DE IMPUESTOS Y OBSOLECENCIA]]</f>
        <v>4300469.5999999996</v>
      </c>
      <c r="H61" s="30"/>
      <c r="I61" s="30"/>
      <c r="J61" s="30"/>
      <c r="K61" s="30"/>
      <c r="L61" s="30"/>
      <c r="M61" s="30"/>
      <c r="N61" s="41"/>
    </row>
    <row r="62" spans="2:14" x14ac:dyDescent="0.3">
      <c r="B62" s="14">
        <f t="shared" si="4"/>
        <v>8</v>
      </c>
      <c r="C62" s="9">
        <f>IF(Tabla9[[#This Row],[CANTIDAD DE REPUESTOS]]&lt;=B18,Tabla9[[#This Row],[CANTIDAD DE REPUESTOS]]*$C$53,Tabla9[[#This Row],[CANTIDAD DE REPUESTOS]]*$C$53)</f>
        <v>3613840</v>
      </c>
      <c r="D62" s="9">
        <f>IF(Tabla9[[#This Row],[CANTIDAD DE REPUESTOS]]&lt;=B18,$C$53*$F$53*Tabla9[[#This Row],[CANTIDAD DE REPUESTOS]],$C$53*$F$53*Tabla9[[#This Row],[CANTIDAD DE REPUESTOS]])</f>
        <v>216830.4</v>
      </c>
      <c r="E62" s="9">
        <f>IF(Tabla9[[#This Row],[CANTIDAD DE REPUESTOS]]&lt;=B18,$C$53*$N$53*Tabla9[[#This Row],[CANTIDAD DE REPUESTOS]],$C$53*$N$53*Tabla9[[#This Row],[CANTIDAD DE REPUESTOS]])</f>
        <v>542076</v>
      </c>
      <c r="F62" s="9">
        <f>IF(Tabla9[[#This Row],[CANTIDAD DE REPUESTOS]]&lt;=B18,Tabla9[[#This Row],[CANTIDAD DE REPUESTOS]]*($C$53)*($H$53+$J$53+$L$53),Tabla9[[#This Row],[CANTIDAD DE REPUESTOS]]*($C$53)*($H$53+$J$53+$L$53))</f>
        <v>542076</v>
      </c>
      <c r="G62" s="9">
        <f>Tabla9[[#This Row],[COSTO DE COMPRA REPUESTOS]]+Tabla9[[#This Row],[COSTO DE ALMACENAMIENTO]]+Tabla9[[#This Row],[COSTO DE TRANSPORTE]]+Tabla9[[#This Row],[COSTOS DE IMPUESTOS Y OBSOLECENCIA]]</f>
        <v>4914822.4000000004</v>
      </c>
      <c r="H62" s="30"/>
      <c r="I62" s="30"/>
      <c r="J62" s="30"/>
      <c r="K62" s="30"/>
      <c r="L62" s="30"/>
      <c r="M62" s="30"/>
      <c r="N62" s="41"/>
    </row>
    <row r="63" spans="2:14" x14ac:dyDescent="0.3">
      <c r="B63" s="14">
        <f t="shared" si="4"/>
        <v>9</v>
      </c>
      <c r="C63" s="9">
        <f>IF(Tabla9[[#This Row],[CANTIDAD DE REPUESTOS]]&lt;=B19,Tabla9[[#This Row],[CANTIDAD DE REPUESTOS]]*$C$53,Tabla9[[#This Row],[CANTIDAD DE REPUESTOS]]*$C$53)</f>
        <v>4065570</v>
      </c>
      <c r="D63" s="9">
        <f>IF(Tabla9[[#This Row],[CANTIDAD DE REPUESTOS]]&lt;=B19,$C$53*$F$53*Tabla9[[#This Row],[CANTIDAD DE REPUESTOS]],$C$53*$F$53*Tabla9[[#This Row],[CANTIDAD DE REPUESTOS]])</f>
        <v>243934.19999999998</v>
      </c>
      <c r="E63" s="9">
        <f>IF(Tabla9[[#This Row],[CANTIDAD DE REPUESTOS]]&lt;=B19,$C$53*$N$53*Tabla9[[#This Row],[CANTIDAD DE REPUESTOS]],$C$53*$N$53*Tabla9[[#This Row],[CANTIDAD DE REPUESTOS]])</f>
        <v>609835.5</v>
      </c>
      <c r="F63" s="9">
        <f>IF(Tabla9[[#This Row],[CANTIDAD DE REPUESTOS]]&lt;=B19,Tabla9[[#This Row],[CANTIDAD DE REPUESTOS]]*($C$53)*($H$53+$J$53+$L$53),Tabla9[[#This Row],[CANTIDAD DE REPUESTOS]]*($C$53)*($H$53+$J$53+$L$53))</f>
        <v>609835.5</v>
      </c>
      <c r="G63" s="9">
        <f>Tabla9[[#This Row],[COSTO DE COMPRA REPUESTOS]]+Tabla9[[#This Row],[COSTO DE ALMACENAMIENTO]]+Tabla9[[#This Row],[COSTO DE TRANSPORTE]]+Tabla9[[#This Row],[COSTOS DE IMPUESTOS Y OBSOLECENCIA]]</f>
        <v>5529175.2000000002</v>
      </c>
      <c r="H63" s="30"/>
      <c r="I63" s="30"/>
      <c r="J63" s="30"/>
      <c r="K63" s="30"/>
      <c r="L63" s="30"/>
      <c r="M63" s="30"/>
      <c r="N63" s="41"/>
    </row>
    <row r="64" spans="2:14" x14ac:dyDescent="0.3">
      <c r="B64" s="14">
        <f t="shared" si="4"/>
        <v>10</v>
      </c>
      <c r="C64" s="9">
        <f>IF(Tabla9[[#This Row],[CANTIDAD DE REPUESTOS]]&lt;=B20,Tabla9[[#This Row],[CANTIDAD DE REPUESTOS]]*$C$53,Tabla9[[#This Row],[CANTIDAD DE REPUESTOS]]*$C$53)</f>
        <v>4517300</v>
      </c>
      <c r="D64" s="9">
        <f>IF(Tabla9[[#This Row],[CANTIDAD DE REPUESTOS]]&lt;=B20,$C$53*$F$53*Tabla9[[#This Row],[CANTIDAD DE REPUESTOS]],$C$53*$F$53*Tabla9[[#This Row],[CANTIDAD DE REPUESTOS]])</f>
        <v>271038</v>
      </c>
      <c r="E64" s="9">
        <f>IF(Tabla9[[#This Row],[CANTIDAD DE REPUESTOS]]&lt;=B20,$C$53*$N$53*Tabla9[[#This Row],[CANTIDAD DE REPUESTOS]],$C$53*$N$53*Tabla9[[#This Row],[CANTIDAD DE REPUESTOS]])</f>
        <v>677595</v>
      </c>
      <c r="F64" s="9">
        <f>IF(Tabla9[[#This Row],[CANTIDAD DE REPUESTOS]]&lt;=B20,Tabla9[[#This Row],[CANTIDAD DE REPUESTOS]]*($C$53)*($H$53+$J$53+$L$53),Tabla9[[#This Row],[CANTIDAD DE REPUESTOS]]*($C$53)*($H$53+$J$53+$L$53))</f>
        <v>677595</v>
      </c>
      <c r="G64" s="9">
        <f>Tabla9[[#This Row],[COSTO DE COMPRA REPUESTOS]]+Tabla9[[#This Row],[COSTO DE ALMACENAMIENTO]]+Tabla9[[#This Row],[COSTO DE TRANSPORTE]]+Tabla9[[#This Row],[COSTOS DE IMPUESTOS Y OBSOLECENCIA]]</f>
        <v>6143528</v>
      </c>
      <c r="H64" s="30"/>
      <c r="I64" s="30"/>
      <c r="J64" s="30"/>
      <c r="K64" s="30"/>
      <c r="L64" s="30"/>
      <c r="M64" s="30"/>
      <c r="N64" s="41"/>
    </row>
    <row r="65" spans="2:14" x14ac:dyDescent="0.3">
      <c r="B65" s="14">
        <f t="shared" si="4"/>
        <v>11</v>
      </c>
      <c r="C65" s="9">
        <f>IF(Tabla9[[#This Row],[CANTIDAD DE REPUESTOS]]&lt;=B21,Tabla9[[#This Row],[CANTIDAD DE REPUESTOS]]*$C$53,Tabla9[[#This Row],[CANTIDAD DE REPUESTOS]]*$C$53)</f>
        <v>4969030</v>
      </c>
      <c r="D65" s="9">
        <f>IF(Tabla9[[#This Row],[CANTIDAD DE REPUESTOS]]&lt;=B21,$C$53*$F$53*Tabla9[[#This Row],[CANTIDAD DE REPUESTOS]],$C$53*$F$53*Tabla9[[#This Row],[CANTIDAD DE REPUESTOS]])</f>
        <v>298141.8</v>
      </c>
      <c r="E65" s="9">
        <f>IF(Tabla9[[#This Row],[CANTIDAD DE REPUESTOS]]&lt;=B21,$C$53*$N$53*Tabla9[[#This Row],[CANTIDAD DE REPUESTOS]],$C$53*$N$53*Tabla9[[#This Row],[CANTIDAD DE REPUESTOS]])</f>
        <v>745354.5</v>
      </c>
      <c r="F65" s="9">
        <f>IF(Tabla9[[#This Row],[CANTIDAD DE REPUESTOS]]&lt;=B21,Tabla9[[#This Row],[CANTIDAD DE REPUESTOS]]*($C$53)*($H$53+$J$53+$L$53),Tabla9[[#This Row],[CANTIDAD DE REPUESTOS]]*($C$53)*($H$53+$J$53+$L$53))</f>
        <v>745354.5</v>
      </c>
      <c r="G65" s="9">
        <f>Tabla9[[#This Row],[COSTO DE COMPRA REPUESTOS]]+Tabla9[[#This Row],[COSTO DE ALMACENAMIENTO]]+Tabla9[[#This Row],[COSTO DE TRANSPORTE]]+Tabla9[[#This Row],[COSTOS DE IMPUESTOS Y OBSOLECENCIA]]</f>
        <v>6757880.7999999998</v>
      </c>
      <c r="H65" s="30"/>
      <c r="I65" s="30"/>
      <c r="J65" s="30"/>
      <c r="K65" s="30"/>
      <c r="L65" s="30"/>
      <c r="M65" s="30"/>
      <c r="N65" s="41"/>
    </row>
    <row r="66" spans="2:14" x14ac:dyDescent="0.3">
      <c r="B66" s="14">
        <f t="shared" si="4"/>
        <v>12</v>
      </c>
      <c r="C66" s="9">
        <f>IF(Tabla9[[#This Row],[CANTIDAD DE REPUESTOS]]&lt;=B22,Tabla9[[#This Row],[CANTIDAD DE REPUESTOS]]*$C$53,Tabla9[[#This Row],[CANTIDAD DE REPUESTOS]]*$C$53)</f>
        <v>5420760</v>
      </c>
      <c r="D66" s="9">
        <f>IF(Tabla9[[#This Row],[CANTIDAD DE REPUESTOS]]&lt;=B22,$C$53*$F$53*Tabla9[[#This Row],[CANTIDAD DE REPUESTOS]],$C$53*$F$53*Tabla9[[#This Row],[CANTIDAD DE REPUESTOS]])</f>
        <v>325245.59999999998</v>
      </c>
      <c r="E66" s="9">
        <f>IF(Tabla9[[#This Row],[CANTIDAD DE REPUESTOS]]&lt;=B22,$C$53*$N$53*Tabla9[[#This Row],[CANTIDAD DE REPUESTOS]],$C$53*$N$53*Tabla9[[#This Row],[CANTIDAD DE REPUESTOS]])</f>
        <v>813114</v>
      </c>
      <c r="F66" s="9">
        <f>IF(Tabla9[[#This Row],[CANTIDAD DE REPUESTOS]]&lt;=B22,Tabla9[[#This Row],[CANTIDAD DE REPUESTOS]]*($C$53)*($H$53+$J$53+$L$53),Tabla9[[#This Row],[CANTIDAD DE REPUESTOS]]*($C$53)*($H$53+$J$53+$L$53))</f>
        <v>813114</v>
      </c>
      <c r="G66" s="9">
        <f>Tabla9[[#This Row],[COSTO DE COMPRA REPUESTOS]]+Tabla9[[#This Row],[COSTO DE ALMACENAMIENTO]]+Tabla9[[#This Row],[COSTO DE TRANSPORTE]]+Tabla9[[#This Row],[COSTOS DE IMPUESTOS Y OBSOLECENCIA]]</f>
        <v>7372233.5999999996</v>
      </c>
      <c r="H66" s="30"/>
      <c r="I66" s="30"/>
      <c r="J66" s="30"/>
      <c r="K66" s="30"/>
      <c r="L66" s="30"/>
      <c r="M66" s="30"/>
      <c r="N66" s="41"/>
    </row>
    <row r="67" spans="2:14" x14ac:dyDescent="0.3">
      <c r="B67" s="14">
        <f t="shared" si="4"/>
        <v>13</v>
      </c>
      <c r="C67" s="9">
        <f>IF(Tabla9[[#This Row],[CANTIDAD DE REPUESTOS]]&lt;=B23,Tabla9[[#This Row],[CANTIDAD DE REPUESTOS]]*$C$53,Tabla9[[#This Row],[CANTIDAD DE REPUESTOS]]*$C$53)</f>
        <v>5872490</v>
      </c>
      <c r="D67" s="9">
        <f>IF(Tabla9[[#This Row],[CANTIDAD DE REPUESTOS]]&lt;=B23,$C$53*$F$53*Tabla9[[#This Row],[CANTIDAD DE REPUESTOS]],$C$53*$F$53*Tabla9[[#This Row],[CANTIDAD DE REPUESTOS]])</f>
        <v>352349.39999999997</v>
      </c>
      <c r="E67" s="9">
        <f>IF(Tabla9[[#This Row],[CANTIDAD DE REPUESTOS]]&lt;=B23,$C$53*$N$53*Tabla9[[#This Row],[CANTIDAD DE REPUESTOS]],$C$53*$N$53*Tabla9[[#This Row],[CANTIDAD DE REPUESTOS]])</f>
        <v>880873.5</v>
      </c>
      <c r="F67" s="9">
        <f>IF(Tabla9[[#This Row],[CANTIDAD DE REPUESTOS]]&lt;=B23,Tabla9[[#This Row],[CANTIDAD DE REPUESTOS]]*($C$53)*($H$53+$J$53+$L$53),Tabla9[[#This Row],[CANTIDAD DE REPUESTOS]]*($C$53)*($H$53+$J$53+$L$53))</f>
        <v>880873.5</v>
      </c>
      <c r="G67" s="9">
        <f>Tabla9[[#This Row],[COSTO DE COMPRA REPUESTOS]]+Tabla9[[#This Row],[COSTO DE ALMACENAMIENTO]]+Tabla9[[#This Row],[COSTO DE TRANSPORTE]]+Tabla9[[#This Row],[COSTOS DE IMPUESTOS Y OBSOLECENCIA]]</f>
        <v>7986586.4000000004</v>
      </c>
      <c r="H67" s="30"/>
      <c r="I67" s="30"/>
      <c r="J67" s="30"/>
      <c r="K67" s="30"/>
      <c r="L67" s="30"/>
      <c r="M67" s="30"/>
      <c r="N67" s="41"/>
    </row>
    <row r="68" spans="2:14" x14ac:dyDescent="0.3">
      <c r="B68" s="14">
        <f t="shared" si="4"/>
        <v>14</v>
      </c>
      <c r="C68" s="9">
        <f>IF(Tabla9[[#This Row],[CANTIDAD DE REPUESTOS]]&lt;=B24,Tabla9[[#This Row],[CANTIDAD DE REPUESTOS]]*$C$53,Tabla9[[#This Row],[CANTIDAD DE REPUESTOS]]*$C$53)</f>
        <v>6324220</v>
      </c>
      <c r="D68" s="9">
        <f>IF(Tabla9[[#This Row],[CANTIDAD DE REPUESTOS]]&lt;=B24,$C$53*$F$53*Tabla9[[#This Row],[CANTIDAD DE REPUESTOS]],$C$53*$F$53*Tabla9[[#This Row],[CANTIDAD DE REPUESTOS]])</f>
        <v>379453.2</v>
      </c>
      <c r="E68" s="9">
        <f>IF(Tabla9[[#This Row],[CANTIDAD DE REPUESTOS]]&lt;=B24,$C$53*$N$53*Tabla9[[#This Row],[CANTIDAD DE REPUESTOS]],$C$53*$N$53*Tabla9[[#This Row],[CANTIDAD DE REPUESTOS]])</f>
        <v>948633</v>
      </c>
      <c r="F68" s="9">
        <f>IF(Tabla9[[#This Row],[CANTIDAD DE REPUESTOS]]&lt;=B24,Tabla9[[#This Row],[CANTIDAD DE REPUESTOS]]*($C$53)*($H$53+$J$53+$L$53),Tabla9[[#This Row],[CANTIDAD DE REPUESTOS]]*($C$53)*($H$53+$J$53+$L$53))</f>
        <v>948633</v>
      </c>
      <c r="G68" s="9">
        <f>Tabla9[[#This Row],[COSTO DE COMPRA REPUESTOS]]+Tabla9[[#This Row],[COSTO DE ALMACENAMIENTO]]+Tabla9[[#This Row],[COSTO DE TRANSPORTE]]+Tabla9[[#This Row],[COSTOS DE IMPUESTOS Y OBSOLECENCIA]]</f>
        <v>8600939.1999999993</v>
      </c>
      <c r="H68" s="30"/>
      <c r="I68" s="30"/>
      <c r="J68" s="30"/>
      <c r="K68" s="30"/>
      <c r="L68" s="30"/>
      <c r="M68" s="30"/>
      <c r="N68" s="41"/>
    </row>
    <row r="69" spans="2:14" x14ac:dyDescent="0.3">
      <c r="B69" s="14">
        <f t="shared" si="4"/>
        <v>15</v>
      </c>
      <c r="C69" s="9">
        <f>IF(Tabla9[[#This Row],[CANTIDAD DE REPUESTOS]]&lt;=B25,Tabla9[[#This Row],[CANTIDAD DE REPUESTOS]]*$C$53,Tabla9[[#This Row],[CANTIDAD DE REPUESTOS]]*$C$53)</f>
        <v>6775950</v>
      </c>
      <c r="D69" s="9">
        <f>IF(Tabla9[[#This Row],[CANTIDAD DE REPUESTOS]]&lt;=B25,$C$53*$F$53*Tabla9[[#This Row],[CANTIDAD DE REPUESTOS]],$C$53*$F$53*Tabla9[[#This Row],[CANTIDAD DE REPUESTOS]])</f>
        <v>406557</v>
      </c>
      <c r="E69" s="9">
        <f>IF(Tabla9[[#This Row],[CANTIDAD DE REPUESTOS]]&lt;=B25,$C$53*$N$53*Tabla9[[#This Row],[CANTIDAD DE REPUESTOS]],$C$53*$N$53*Tabla9[[#This Row],[CANTIDAD DE REPUESTOS]])</f>
        <v>1016392.5</v>
      </c>
      <c r="F69" s="9">
        <f>IF(Tabla9[[#This Row],[CANTIDAD DE REPUESTOS]]&lt;=B25,Tabla9[[#This Row],[CANTIDAD DE REPUESTOS]]*($C$53)*($H$53+$J$53+$L$53),Tabla9[[#This Row],[CANTIDAD DE REPUESTOS]]*($C$53)*($H$53+$J$53+$L$53))</f>
        <v>1016392.5</v>
      </c>
      <c r="G69" s="9">
        <f>Tabla9[[#This Row],[COSTO DE COMPRA REPUESTOS]]+Tabla9[[#This Row],[COSTO DE ALMACENAMIENTO]]+Tabla9[[#This Row],[COSTO DE TRANSPORTE]]+Tabla9[[#This Row],[COSTOS DE IMPUESTOS Y OBSOLECENCIA]]</f>
        <v>9215292</v>
      </c>
      <c r="H69" s="30"/>
      <c r="I69" s="30"/>
      <c r="J69" s="30"/>
      <c r="K69" s="30"/>
      <c r="L69" s="30"/>
      <c r="M69" s="30"/>
      <c r="N69" s="41"/>
    </row>
    <row r="70" spans="2:14" x14ac:dyDescent="0.3">
      <c r="B70" s="14">
        <f t="shared" si="4"/>
        <v>16</v>
      </c>
      <c r="C70" s="9">
        <f>IF(Tabla9[[#This Row],[CANTIDAD DE REPUESTOS]]&lt;=B26,Tabla9[[#This Row],[CANTIDAD DE REPUESTOS]]*$C$53,Tabla9[[#This Row],[CANTIDAD DE REPUESTOS]]*$C$53)</f>
        <v>7227680</v>
      </c>
      <c r="D70" s="9">
        <f>IF(Tabla9[[#This Row],[CANTIDAD DE REPUESTOS]]&lt;=B26,$C$53*$F$53*Tabla9[[#This Row],[CANTIDAD DE REPUESTOS]],$C$53*$F$53*Tabla9[[#This Row],[CANTIDAD DE REPUESTOS]])</f>
        <v>433660.8</v>
      </c>
      <c r="E70" s="9">
        <f>IF(Tabla9[[#This Row],[CANTIDAD DE REPUESTOS]]&lt;=B26,$C$53*$N$53*Tabla9[[#This Row],[CANTIDAD DE REPUESTOS]],$C$53*$N$53*Tabla9[[#This Row],[CANTIDAD DE REPUESTOS]])</f>
        <v>1084152</v>
      </c>
      <c r="F70" s="9">
        <f>IF(Tabla9[[#This Row],[CANTIDAD DE REPUESTOS]]&lt;=B26,Tabla9[[#This Row],[CANTIDAD DE REPUESTOS]]*($C$53)*($H$53+$J$53+$L$53),Tabla9[[#This Row],[CANTIDAD DE REPUESTOS]]*($C$53)*($H$53+$J$53+$L$53))</f>
        <v>1084152</v>
      </c>
      <c r="G70" s="9">
        <f>Tabla9[[#This Row],[COSTO DE COMPRA REPUESTOS]]+Tabla9[[#This Row],[COSTO DE ALMACENAMIENTO]]+Tabla9[[#This Row],[COSTO DE TRANSPORTE]]+Tabla9[[#This Row],[COSTOS DE IMPUESTOS Y OBSOLECENCIA]]</f>
        <v>9829644.8000000007</v>
      </c>
      <c r="H70" s="30"/>
      <c r="I70" s="30"/>
      <c r="J70" s="30"/>
      <c r="K70" s="30"/>
      <c r="L70" s="30"/>
      <c r="M70" s="30"/>
      <c r="N70" s="41"/>
    </row>
    <row r="71" spans="2:14" x14ac:dyDescent="0.3">
      <c r="B71" s="14">
        <f t="shared" si="4"/>
        <v>17</v>
      </c>
      <c r="C71" s="9">
        <f>IF(Tabla9[[#This Row],[CANTIDAD DE REPUESTOS]]&lt;=B27,Tabla9[[#This Row],[CANTIDAD DE REPUESTOS]]*$C$53,Tabla9[[#This Row],[CANTIDAD DE REPUESTOS]]*$C$53)</f>
        <v>7679410</v>
      </c>
      <c r="D71" s="9">
        <f>IF(Tabla9[[#This Row],[CANTIDAD DE REPUESTOS]]&lt;=B27,$C$53*$F$53*Tabla9[[#This Row],[CANTIDAD DE REPUESTOS]],$C$53*$F$53*Tabla9[[#This Row],[CANTIDAD DE REPUESTOS]])</f>
        <v>460764.6</v>
      </c>
      <c r="E71" s="9">
        <f>IF(Tabla9[[#This Row],[CANTIDAD DE REPUESTOS]]&lt;=B27,$C$53*$N$53*Tabla9[[#This Row],[CANTIDAD DE REPUESTOS]],$C$53*$N$53*Tabla9[[#This Row],[CANTIDAD DE REPUESTOS]])</f>
        <v>1151911.5</v>
      </c>
      <c r="F71" s="9">
        <f>IF(Tabla9[[#This Row],[CANTIDAD DE REPUESTOS]]&lt;=B27,Tabla9[[#This Row],[CANTIDAD DE REPUESTOS]]*($C$53)*($H$53+$J$53+$L$53),Tabla9[[#This Row],[CANTIDAD DE REPUESTOS]]*($C$53)*($H$53+$J$53+$L$53))</f>
        <v>1151911.5</v>
      </c>
      <c r="G71" s="9">
        <f>Tabla9[[#This Row],[COSTO DE COMPRA REPUESTOS]]+Tabla9[[#This Row],[COSTO DE ALMACENAMIENTO]]+Tabla9[[#This Row],[COSTO DE TRANSPORTE]]+Tabla9[[#This Row],[COSTOS DE IMPUESTOS Y OBSOLECENCIA]]</f>
        <v>10443997.6</v>
      </c>
      <c r="H71" s="30"/>
      <c r="I71" s="30"/>
      <c r="J71" s="30"/>
      <c r="K71" s="30"/>
      <c r="L71" s="30"/>
      <c r="M71" s="30"/>
      <c r="N71" s="41"/>
    </row>
    <row r="72" spans="2:14" x14ac:dyDescent="0.3">
      <c r="B72" s="14">
        <f t="shared" si="4"/>
        <v>18</v>
      </c>
      <c r="C72" s="9">
        <f>IF(Tabla9[[#This Row],[CANTIDAD DE REPUESTOS]]&lt;=B28,Tabla9[[#This Row],[CANTIDAD DE REPUESTOS]]*$C$53,Tabla9[[#This Row],[CANTIDAD DE REPUESTOS]]*$C$53)</f>
        <v>8131140</v>
      </c>
      <c r="D72" s="9">
        <f>IF(Tabla9[[#This Row],[CANTIDAD DE REPUESTOS]]&lt;=B28,$C$53*$F$53*Tabla9[[#This Row],[CANTIDAD DE REPUESTOS]],$C$53*$F$53*Tabla9[[#This Row],[CANTIDAD DE REPUESTOS]])</f>
        <v>487868.39999999997</v>
      </c>
      <c r="E72" s="9">
        <f>IF(Tabla9[[#This Row],[CANTIDAD DE REPUESTOS]]&lt;=B28,$C$53*$N$53*Tabla9[[#This Row],[CANTIDAD DE REPUESTOS]],$C$53*$N$53*Tabla9[[#This Row],[CANTIDAD DE REPUESTOS]])</f>
        <v>1219671</v>
      </c>
      <c r="F72" s="9">
        <f>IF(Tabla9[[#This Row],[CANTIDAD DE REPUESTOS]]&lt;=B28,Tabla9[[#This Row],[CANTIDAD DE REPUESTOS]]*($C$53)*($H$53+$J$53+$L$53),Tabla9[[#This Row],[CANTIDAD DE REPUESTOS]]*($C$53)*($H$53+$J$53+$L$53))</f>
        <v>1219671</v>
      </c>
      <c r="G72" s="9">
        <f>Tabla9[[#This Row],[COSTO DE COMPRA REPUESTOS]]+Tabla9[[#This Row],[COSTO DE ALMACENAMIENTO]]+Tabla9[[#This Row],[COSTO DE TRANSPORTE]]+Tabla9[[#This Row],[COSTOS DE IMPUESTOS Y OBSOLECENCIA]]</f>
        <v>11058350.4</v>
      </c>
      <c r="H72" s="30"/>
      <c r="I72" s="30"/>
      <c r="J72" s="30"/>
      <c r="K72" s="30"/>
      <c r="L72" s="30"/>
      <c r="M72" s="30"/>
      <c r="N72" s="41"/>
    </row>
    <row r="73" spans="2:14" x14ac:dyDescent="0.3">
      <c r="B73" s="14">
        <f t="shared" si="4"/>
        <v>19</v>
      </c>
      <c r="C73" s="9">
        <f>IF(Tabla9[[#This Row],[CANTIDAD DE REPUESTOS]]&lt;=B29,Tabla9[[#This Row],[CANTIDAD DE REPUESTOS]]*$C$53,Tabla9[[#This Row],[CANTIDAD DE REPUESTOS]]*$C$53)</f>
        <v>8582870</v>
      </c>
      <c r="D73" s="9">
        <f>IF(Tabla9[[#This Row],[CANTIDAD DE REPUESTOS]]&lt;=B29,$C$53*$F$53*Tabla9[[#This Row],[CANTIDAD DE REPUESTOS]],$C$53*$F$53*Tabla9[[#This Row],[CANTIDAD DE REPUESTOS]])</f>
        <v>514972.2</v>
      </c>
      <c r="E73" s="9">
        <f>IF(Tabla9[[#This Row],[CANTIDAD DE REPUESTOS]]&lt;=B29,$C$53*$N$53*Tabla9[[#This Row],[CANTIDAD DE REPUESTOS]],$C$53*$N$53*Tabla9[[#This Row],[CANTIDAD DE REPUESTOS]])</f>
        <v>1287430.5</v>
      </c>
      <c r="F73" s="9">
        <f>IF(Tabla9[[#This Row],[CANTIDAD DE REPUESTOS]]&lt;=B29,Tabla9[[#This Row],[CANTIDAD DE REPUESTOS]]*($C$53)*($H$53+$J$53+$L$53),Tabla9[[#This Row],[CANTIDAD DE REPUESTOS]]*($C$53)*($H$53+$J$53+$L$53))</f>
        <v>1287430.5</v>
      </c>
      <c r="G73" s="9">
        <f>Tabla9[[#This Row],[COSTO DE COMPRA REPUESTOS]]+Tabla9[[#This Row],[COSTO DE ALMACENAMIENTO]]+Tabla9[[#This Row],[COSTO DE TRANSPORTE]]+Tabla9[[#This Row],[COSTOS DE IMPUESTOS Y OBSOLECENCIA]]</f>
        <v>11672703.199999999</v>
      </c>
      <c r="H73" s="30"/>
      <c r="I73" s="30"/>
      <c r="J73" s="30"/>
      <c r="K73" s="30"/>
      <c r="L73" s="30"/>
      <c r="M73" s="30"/>
      <c r="N73" s="41"/>
    </row>
    <row r="74" spans="2:14" x14ac:dyDescent="0.3">
      <c r="B74" s="14">
        <f t="shared" si="4"/>
        <v>20</v>
      </c>
      <c r="C74" s="9">
        <f>IF(Tabla9[[#This Row],[CANTIDAD DE REPUESTOS]]&lt;=B30,Tabla9[[#This Row],[CANTIDAD DE REPUESTOS]]*$C$53,Tabla9[[#This Row],[CANTIDAD DE REPUESTOS]]*$C$53)</f>
        <v>9034600</v>
      </c>
      <c r="D74" s="9">
        <f>IF(Tabla9[[#This Row],[CANTIDAD DE REPUESTOS]]&lt;=B30,$C$53*$F$53*Tabla9[[#This Row],[CANTIDAD DE REPUESTOS]],$C$53*$F$53*Tabla9[[#This Row],[CANTIDAD DE REPUESTOS]])</f>
        <v>542076</v>
      </c>
      <c r="E74" s="9">
        <f>IF(Tabla9[[#This Row],[CANTIDAD DE REPUESTOS]]&lt;=B30,$C$53*$N$53*Tabla9[[#This Row],[CANTIDAD DE REPUESTOS]],$C$53*$N$53*Tabla9[[#This Row],[CANTIDAD DE REPUESTOS]])</f>
        <v>1355190</v>
      </c>
      <c r="F74" s="9">
        <f>IF(Tabla9[[#This Row],[CANTIDAD DE REPUESTOS]]&lt;=B30,Tabla9[[#This Row],[CANTIDAD DE REPUESTOS]]*($C$53)*($H$53+$J$53+$L$53),Tabla9[[#This Row],[CANTIDAD DE REPUESTOS]]*($C$53)*($H$53+$J$53+$L$53))</f>
        <v>1355190</v>
      </c>
      <c r="G74" s="9">
        <f>Tabla9[[#This Row],[COSTO DE COMPRA REPUESTOS]]+Tabla9[[#This Row],[COSTO DE ALMACENAMIENTO]]+Tabla9[[#This Row],[COSTO DE TRANSPORTE]]+Tabla9[[#This Row],[COSTOS DE IMPUESTOS Y OBSOLECENCIA]]</f>
        <v>12287056</v>
      </c>
      <c r="H74" s="30"/>
      <c r="I74" s="30"/>
      <c r="J74" s="30"/>
      <c r="K74" s="30"/>
      <c r="L74" s="30"/>
      <c r="M74" s="30"/>
      <c r="N74" s="41"/>
    </row>
    <row r="75" spans="2:14" x14ac:dyDescent="0.3">
      <c r="B75" s="14">
        <f t="shared" si="4"/>
        <v>21</v>
      </c>
      <c r="C75" s="9">
        <f>IF(Tabla9[[#This Row],[CANTIDAD DE REPUESTOS]]&lt;=B31,Tabla9[[#This Row],[CANTIDAD DE REPUESTOS]]*$C$53,Tabla9[[#This Row],[CANTIDAD DE REPUESTOS]]*$C$53)</f>
        <v>9486330</v>
      </c>
      <c r="D75" s="9">
        <f>IF(Tabla9[[#This Row],[CANTIDAD DE REPUESTOS]]&lt;=B31,$C$53*$F$53*Tabla9[[#This Row],[CANTIDAD DE REPUESTOS]],$C$53*$F$53*Tabla9[[#This Row],[CANTIDAD DE REPUESTOS]])</f>
        <v>569179.79999999993</v>
      </c>
      <c r="E75" s="9">
        <f>IF(Tabla9[[#This Row],[CANTIDAD DE REPUESTOS]]&lt;=B31,$C$53*$N$53*Tabla9[[#This Row],[CANTIDAD DE REPUESTOS]],$C$53*$N$53*Tabla9[[#This Row],[CANTIDAD DE REPUESTOS]])</f>
        <v>1422949.5</v>
      </c>
      <c r="F75" s="9">
        <f>IF(Tabla9[[#This Row],[CANTIDAD DE REPUESTOS]]&lt;=B31,Tabla9[[#This Row],[CANTIDAD DE REPUESTOS]]*($C$53)*($H$53+$J$53+$L$53),Tabla9[[#This Row],[CANTIDAD DE REPUESTOS]]*($C$53)*($H$53+$J$53+$L$53))</f>
        <v>1422949.5</v>
      </c>
      <c r="G75" s="9">
        <f>Tabla9[[#This Row],[COSTO DE COMPRA REPUESTOS]]+Tabla9[[#This Row],[COSTO DE ALMACENAMIENTO]]+Tabla9[[#This Row],[COSTO DE TRANSPORTE]]+Tabla9[[#This Row],[COSTOS DE IMPUESTOS Y OBSOLECENCIA]]</f>
        <v>12901408.800000001</v>
      </c>
      <c r="H75" s="30"/>
      <c r="I75" s="30"/>
      <c r="J75" s="30"/>
      <c r="K75" s="30"/>
      <c r="L75" s="30"/>
      <c r="M75" s="30"/>
      <c r="N75" s="41"/>
    </row>
    <row r="76" spans="2:14" x14ac:dyDescent="0.3">
      <c r="B76" s="14">
        <f t="shared" si="4"/>
        <v>22</v>
      </c>
      <c r="C76" s="9">
        <f>IF(Tabla9[[#This Row],[CANTIDAD DE REPUESTOS]]&lt;=B32,Tabla9[[#This Row],[CANTIDAD DE REPUESTOS]]*$C$53,Tabla9[[#This Row],[CANTIDAD DE REPUESTOS]]*$C$53)</f>
        <v>9938060</v>
      </c>
      <c r="D76" s="9">
        <f>IF(Tabla9[[#This Row],[CANTIDAD DE REPUESTOS]]&lt;=B32,$C$53*$F$53*Tabla9[[#This Row],[CANTIDAD DE REPUESTOS]],$C$53*$F$53*Tabla9[[#This Row],[CANTIDAD DE REPUESTOS]])</f>
        <v>596283.6</v>
      </c>
      <c r="E76" s="9">
        <f>IF(Tabla9[[#This Row],[CANTIDAD DE REPUESTOS]]&lt;=B32,$C$53*$N$53*Tabla9[[#This Row],[CANTIDAD DE REPUESTOS]],$C$53*$N$53*Tabla9[[#This Row],[CANTIDAD DE REPUESTOS]])</f>
        <v>1490709</v>
      </c>
      <c r="F76" s="9">
        <f>IF(Tabla9[[#This Row],[CANTIDAD DE REPUESTOS]]&lt;=B32,Tabla9[[#This Row],[CANTIDAD DE REPUESTOS]]*($C$53)*($H$53+$J$53+$L$53),Tabla9[[#This Row],[CANTIDAD DE REPUESTOS]]*($C$53)*($H$53+$J$53+$L$53))</f>
        <v>1490709</v>
      </c>
      <c r="G76" s="9">
        <f>Tabla9[[#This Row],[COSTO DE COMPRA REPUESTOS]]+Tabla9[[#This Row],[COSTO DE ALMACENAMIENTO]]+Tabla9[[#This Row],[COSTO DE TRANSPORTE]]+Tabla9[[#This Row],[COSTOS DE IMPUESTOS Y OBSOLECENCIA]]</f>
        <v>13515761.6</v>
      </c>
      <c r="H76" s="30"/>
      <c r="I76" s="30"/>
      <c r="J76" s="30"/>
      <c r="K76" s="30"/>
      <c r="L76" s="30"/>
      <c r="M76" s="30"/>
      <c r="N76" s="41"/>
    </row>
    <row r="77" spans="2:14" x14ac:dyDescent="0.3">
      <c r="B77" s="14">
        <f t="shared" si="4"/>
        <v>23</v>
      </c>
      <c r="C77" s="9">
        <f>IF(Tabla9[[#This Row],[CANTIDAD DE REPUESTOS]]&lt;=B33,Tabla9[[#This Row],[CANTIDAD DE REPUESTOS]]*$C$53,Tabla9[[#This Row],[CANTIDAD DE REPUESTOS]]*$C$53)</f>
        <v>10389790</v>
      </c>
      <c r="D77" s="9">
        <f>IF(Tabla9[[#This Row],[CANTIDAD DE REPUESTOS]]&lt;=B33,$C$53*$F$53*Tabla9[[#This Row],[CANTIDAD DE REPUESTOS]],$C$53*$F$53*Tabla9[[#This Row],[CANTIDAD DE REPUESTOS]])</f>
        <v>623387.4</v>
      </c>
      <c r="E77" s="9">
        <f>IF(Tabla9[[#This Row],[CANTIDAD DE REPUESTOS]]&lt;=B33,$C$53*$N$53*Tabla9[[#This Row],[CANTIDAD DE REPUESTOS]],$C$53*$N$53*Tabla9[[#This Row],[CANTIDAD DE REPUESTOS]])</f>
        <v>1558468.5</v>
      </c>
      <c r="F77" s="9">
        <f>IF(Tabla9[[#This Row],[CANTIDAD DE REPUESTOS]]&lt;=B33,Tabla9[[#This Row],[CANTIDAD DE REPUESTOS]]*($C$53)*($H$53+$J$53+$L$53),Tabla9[[#This Row],[CANTIDAD DE REPUESTOS]]*($C$53)*($H$53+$J$53+$L$53))</f>
        <v>1558468.5</v>
      </c>
      <c r="G77" s="9">
        <f>Tabla9[[#This Row],[COSTO DE COMPRA REPUESTOS]]+Tabla9[[#This Row],[COSTO DE ALMACENAMIENTO]]+Tabla9[[#This Row],[COSTO DE TRANSPORTE]]+Tabla9[[#This Row],[COSTOS DE IMPUESTOS Y OBSOLECENCIA]]</f>
        <v>14130114.4</v>
      </c>
      <c r="H77" s="30"/>
      <c r="I77" s="30"/>
      <c r="J77" s="30"/>
      <c r="K77" s="30"/>
      <c r="L77" s="30"/>
      <c r="M77" s="30"/>
      <c r="N77" s="41"/>
    </row>
    <row r="78" spans="2:14" x14ac:dyDescent="0.3">
      <c r="B78" s="14">
        <f t="shared" si="4"/>
        <v>24</v>
      </c>
      <c r="C78" s="9">
        <f>IF(Tabla9[[#This Row],[CANTIDAD DE REPUESTOS]]&lt;=B34,Tabla9[[#This Row],[CANTIDAD DE REPUESTOS]]*$C$53,Tabla9[[#This Row],[CANTIDAD DE REPUESTOS]]*$C$53)</f>
        <v>10841520</v>
      </c>
      <c r="D78" s="9">
        <f>IF(Tabla9[[#This Row],[CANTIDAD DE REPUESTOS]]&lt;=B34,$C$53*$F$53*Tabla9[[#This Row],[CANTIDAD DE REPUESTOS]],$C$53*$F$53*Tabla9[[#This Row],[CANTIDAD DE REPUESTOS]])</f>
        <v>650491.19999999995</v>
      </c>
      <c r="E78" s="9">
        <f>IF(Tabla9[[#This Row],[CANTIDAD DE REPUESTOS]]&lt;=B34,$C$53*$N$53*Tabla9[[#This Row],[CANTIDAD DE REPUESTOS]],$C$53*$N$53*Tabla9[[#This Row],[CANTIDAD DE REPUESTOS]])</f>
        <v>1626228</v>
      </c>
      <c r="F78" s="9">
        <f>IF(Tabla9[[#This Row],[CANTIDAD DE REPUESTOS]]&lt;=B34,Tabla9[[#This Row],[CANTIDAD DE REPUESTOS]]*($C$53)*($H$53+$J$53+$L$53),Tabla9[[#This Row],[CANTIDAD DE REPUESTOS]]*($C$53)*($H$53+$J$53+$L$53))</f>
        <v>1626228</v>
      </c>
      <c r="G78" s="9">
        <f>Tabla9[[#This Row],[COSTO DE COMPRA REPUESTOS]]+Tabla9[[#This Row],[COSTO DE ALMACENAMIENTO]]+Tabla9[[#This Row],[COSTO DE TRANSPORTE]]+Tabla9[[#This Row],[COSTOS DE IMPUESTOS Y OBSOLECENCIA]]</f>
        <v>14744467.199999999</v>
      </c>
      <c r="H78" s="30"/>
      <c r="I78" s="30"/>
      <c r="J78" s="30"/>
      <c r="K78" s="30"/>
      <c r="L78" s="30"/>
      <c r="M78" s="30"/>
      <c r="N78" s="41"/>
    </row>
    <row r="79" spans="2:14" x14ac:dyDescent="0.3">
      <c r="B79" s="14">
        <f t="shared" si="4"/>
        <v>25</v>
      </c>
      <c r="C79" s="9">
        <f>IF(Tabla9[[#This Row],[CANTIDAD DE REPUESTOS]]&lt;=B35,Tabla9[[#This Row],[CANTIDAD DE REPUESTOS]]*$C$53,Tabla9[[#This Row],[CANTIDAD DE REPUESTOS]]*$C$53)</f>
        <v>11293250</v>
      </c>
      <c r="D79" s="9">
        <f>IF(Tabla9[[#This Row],[CANTIDAD DE REPUESTOS]]&lt;=B35,$C$53*$F$53*Tabla9[[#This Row],[CANTIDAD DE REPUESTOS]],$C$53*$F$53*Tabla9[[#This Row],[CANTIDAD DE REPUESTOS]])</f>
        <v>677595</v>
      </c>
      <c r="E79" s="9">
        <f>IF(Tabla9[[#This Row],[CANTIDAD DE REPUESTOS]]&lt;=B35,$C$53*$N$53*Tabla9[[#This Row],[CANTIDAD DE REPUESTOS]],$C$53*$N$53*Tabla9[[#This Row],[CANTIDAD DE REPUESTOS]])</f>
        <v>1693987.5</v>
      </c>
      <c r="F79" s="9">
        <f>IF(Tabla9[[#This Row],[CANTIDAD DE REPUESTOS]]&lt;=B35,Tabla9[[#This Row],[CANTIDAD DE REPUESTOS]]*($C$53)*($H$53+$J$53+$L$53),Tabla9[[#This Row],[CANTIDAD DE REPUESTOS]]*($C$53)*($H$53+$J$53+$L$53))</f>
        <v>1693987.5</v>
      </c>
      <c r="G79" s="9">
        <f>Tabla9[[#This Row],[COSTO DE COMPRA REPUESTOS]]+Tabla9[[#This Row],[COSTO DE ALMACENAMIENTO]]+Tabla9[[#This Row],[COSTO DE TRANSPORTE]]+Tabla9[[#This Row],[COSTOS DE IMPUESTOS Y OBSOLECENCIA]]</f>
        <v>15358820</v>
      </c>
      <c r="H79" s="30"/>
      <c r="I79" s="30"/>
      <c r="J79" s="30"/>
      <c r="K79" s="30"/>
      <c r="L79" s="30"/>
      <c r="M79" s="30"/>
      <c r="N79" s="41"/>
    </row>
    <row r="80" spans="2:14" x14ac:dyDescent="0.3">
      <c r="B80" s="14">
        <f t="shared" si="4"/>
        <v>26</v>
      </c>
      <c r="C80" s="9">
        <f>IF(Tabla9[[#This Row],[CANTIDAD DE REPUESTOS]]&lt;=B36,Tabla9[[#This Row],[CANTIDAD DE REPUESTOS]]*$C$53,Tabla9[[#This Row],[CANTIDAD DE REPUESTOS]]*$C$53)</f>
        <v>11744980</v>
      </c>
      <c r="D80" s="9">
        <f>IF(Tabla9[[#This Row],[CANTIDAD DE REPUESTOS]]&lt;=B36,$C$53*$F$53*Tabla9[[#This Row],[CANTIDAD DE REPUESTOS]],$C$53*$F$53*Tabla9[[#This Row],[CANTIDAD DE REPUESTOS]])</f>
        <v>704698.79999999993</v>
      </c>
      <c r="E80" s="9">
        <f>IF(Tabla9[[#This Row],[CANTIDAD DE REPUESTOS]]&lt;=B36,$C$53*$N$53*Tabla9[[#This Row],[CANTIDAD DE REPUESTOS]],$C$53*$N$53*Tabla9[[#This Row],[CANTIDAD DE REPUESTOS]])</f>
        <v>1761747</v>
      </c>
      <c r="F80" s="9">
        <f>IF(Tabla9[[#This Row],[CANTIDAD DE REPUESTOS]]&lt;=B36,Tabla9[[#This Row],[CANTIDAD DE REPUESTOS]]*($C$53)*($H$53+$J$53+$L$53),Tabla9[[#This Row],[CANTIDAD DE REPUESTOS]]*($C$53)*($H$53+$J$53+$L$53))</f>
        <v>1761747</v>
      </c>
      <c r="G80" s="9">
        <f>Tabla9[[#This Row],[COSTO DE COMPRA REPUESTOS]]+Tabla9[[#This Row],[COSTO DE ALMACENAMIENTO]]+Tabla9[[#This Row],[COSTO DE TRANSPORTE]]+Tabla9[[#This Row],[COSTOS DE IMPUESTOS Y OBSOLECENCIA]]</f>
        <v>15973172.800000001</v>
      </c>
      <c r="H80" s="30"/>
      <c r="I80" s="30"/>
      <c r="J80" s="30"/>
      <c r="K80" s="30"/>
      <c r="L80" s="30"/>
      <c r="M80" s="30"/>
      <c r="N80" s="41"/>
    </row>
    <row r="81" spans="2:14" x14ac:dyDescent="0.3">
      <c r="B81" s="14">
        <f t="shared" si="4"/>
        <v>27</v>
      </c>
      <c r="C81" s="9">
        <f>IF(Tabla9[[#This Row],[CANTIDAD DE REPUESTOS]]&lt;=B37,Tabla9[[#This Row],[CANTIDAD DE REPUESTOS]]*$C$53,Tabla9[[#This Row],[CANTIDAD DE REPUESTOS]]*$C$53)</f>
        <v>12196710</v>
      </c>
      <c r="D81" s="9">
        <f>IF(Tabla9[[#This Row],[CANTIDAD DE REPUESTOS]]&lt;=B37,$C$53*$F$53*Tabla9[[#This Row],[CANTIDAD DE REPUESTOS]],$C$53*$F$53*Tabla9[[#This Row],[CANTIDAD DE REPUESTOS]])</f>
        <v>731802.6</v>
      </c>
      <c r="E81" s="9">
        <f>IF(Tabla9[[#This Row],[CANTIDAD DE REPUESTOS]]&lt;=B37,$C$53*$N$53*Tabla9[[#This Row],[CANTIDAD DE REPUESTOS]],$C$53*$N$53*Tabla9[[#This Row],[CANTIDAD DE REPUESTOS]])</f>
        <v>1829506.5</v>
      </c>
      <c r="F81" s="9">
        <f>IF(Tabla9[[#This Row],[CANTIDAD DE REPUESTOS]]&lt;=B37,Tabla9[[#This Row],[CANTIDAD DE REPUESTOS]]*($C$53)*($H$53+$J$53+$L$53),Tabla9[[#This Row],[CANTIDAD DE REPUESTOS]]*($C$53)*($H$53+$J$53+$L$53))</f>
        <v>1829506.5</v>
      </c>
      <c r="G81" s="9">
        <f>Tabla9[[#This Row],[COSTO DE COMPRA REPUESTOS]]+Tabla9[[#This Row],[COSTO DE ALMACENAMIENTO]]+Tabla9[[#This Row],[COSTO DE TRANSPORTE]]+Tabla9[[#This Row],[COSTOS DE IMPUESTOS Y OBSOLECENCIA]]</f>
        <v>16587525.6</v>
      </c>
      <c r="H81" s="30"/>
      <c r="I81" s="30"/>
      <c r="J81" s="30"/>
      <c r="K81" s="30"/>
      <c r="L81" s="30"/>
      <c r="M81" s="30"/>
      <c r="N81" s="41"/>
    </row>
    <row r="82" spans="2:14" x14ac:dyDescent="0.3">
      <c r="B82" s="14">
        <f t="shared" si="4"/>
        <v>28</v>
      </c>
      <c r="C82" s="9">
        <f>IF(Tabla9[[#This Row],[CANTIDAD DE REPUESTOS]]&lt;=B38,Tabla9[[#This Row],[CANTIDAD DE REPUESTOS]]*$C$53,Tabla9[[#This Row],[CANTIDAD DE REPUESTOS]]*$C$53)</f>
        <v>12648440</v>
      </c>
      <c r="D82" s="9">
        <f>IF(Tabla9[[#This Row],[CANTIDAD DE REPUESTOS]]&lt;=B38,$C$53*$F$53*Tabla9[[#This Row],[CANTIDAD DE REPUESTOS]],$C$53*$F$53*Tabla9[[#This Row],[CANTIDAD DE REPUESTOS]])</f>
        <v>758906.4</v>
      </c>
      <c r="E82" s="9">
        <f>IF(Tabla9[[#This Row],[CANTIDAD DE REPUESTOS]]&lt;=B38,$C$53*$N$53*Tabla9[[#This Row],[CANTIDAD DE REPUESTOS]],$C$53*$N$53*Tabla9[[#This Row],[CANTIDAD DE REPUESTOS]])</f>
        <v>1897266</v>
      </c>
      <c r="F82" s="9">
        <f>IF(Tabla9[[#This Row],[CANTIDAD DE REPUESTOS]]&lt;=B38,Tabla9[[#This Row],[CANTIDAD DE REPUESTOS]]*($C$53)*($H$53+$J$53+$L$53),Tabla9[[#This Row],[CANTIDAD DE REPUESTOS]]*($C$53)*($H$53+$J$53+$L$53))</f>
        <v>1897266</v>
      </c>
      <c r="G82" s="9">
        <f>Tabla9[[#This Row],[COSTO DE COMPRA REPUESTOS]]+Tabla9[[#This Row],[COSTO DE ALMACENAMIENTO]]+Tabla9[[#This Row],[COSTO DE TRANSPORTE]]+Tabla9[[#This Row],[COSTOS DE IMPUESTOS Y OBSOLECENCIA]]</f>
        <v>17201878.399999999</v>
      </c>
      <c r="H82" s="30"/>
      <c r="I82" s="30"/>
      <c r="J82" s="30"/>
      <c r="K82" s="30"/>
      <c r="L82" s="30"/>
      <c r="M82" s="30"/>
      <c r="N82" s="41"/>
    </row>
    <row r="83" spans="2:14" x14ac:dyDescent="0.3">
      <c r="B83" s="14">
        <f t="shared" si="4"/>
        <v>29</v>
      </c>
      <c r="C83" s="9">
        <f>IF(Tabla9[[#This Row],[CANTIDAD DE REPUESTOS]]&lt;=B39,Tabla9[[#This Row],[CANTIDAD DE REPUESTOS]]*$C$53,Tabla9[[#This Row],[CANTIDAD DE REPUESTOS]]*$C$53)</f>
        <v>13100170</v>
      </c>
      <c r="D83" s="9">
        <f>IF(Tabla9[[#This Row],[CANTIDAD DE REPUESTOS]]&lt;=B39,$C$53*$F$53*Tabla9[[#This Row],[CANTIDAD DE REPUESTOS]],$C$53*$F$53*Tabla9[[#This Row],[CANTIDAD DE REPUESTOS]])</f>
        <v>786010.2</v>
      </c>
      <c r="E83" s="9">
        <f>IF(Tabla9[[#This Row],[CANTIDAD DE REPUESTOS]]&lt;=B39,$C$53*$N$53*Tabla9[[#This Row],[CANTIDAD DE REPUESTOS]],$C$53*$N$53*Tabla9[[#This Row],[CANTIDAD DE REPUESTOS]])</f>
        <v>1965025.5</v>
      </c>
      <c r="F83" s="9">
        <f>IF(Tabla9[[#This Row],[CANTIDAD DE REPUESTOS]]&lt;=B39,Tabla9[[#This Row],[CANTIDAD DE REPUESTOS]]*($C$53)*($H$53+$J$53+$L$53),Tabla9[[#This Row],[CANTIDAD DE REPUESTOS]]*($C$53)*($H$53+$J$53+$L$53))</f>
        <v>1965025.5</v>
      </c>
      <c r="G83" s="9">
        <f>Tabla9[[#This Row],[COSTO DE COMPRA REPUESTOS]]+Tabla9[[#This Row],[COSTO DE ALMACENAMIENTO]]+Tabla9[[#This Row],[COSTO DE TRANSPORTE]]+Tabla9[[#This Row],[COSTOS DE IMPUESTOS Y OBSOLECENCIA]]</f>
        <v>17816231.199999999</v>
      </c>
      <c r="H83" s="30"/>
      <c r="I83" s="30"/>
      <c r="J83" s="30"/>
      <c r="K83" s="30"/>
      <c r="L83" s="30"/>
      <c r="M83" s="30"/>
      <c r="N83" s="41"/>
    </row>
    <row r="84" spans="2:14" x14ac:dyDescent="0.3">
      <c r="B84" s="14">
        <f t="shared" si="4"/>
        <v>30</v>
      </c>
      <c r="C84" s="9">
        <f>IF(Tabla9[[#This Row],[CANTIDAD DE REPUESTOS]]&lt;=B40,Tabla9[[#This Row],[CANTIDAD DE REPUESTOS]]*$C$53,Tabla9[[#This Row],[CANTIDAD DE REPUESTOS]]*$C$53)</f>
        <v>13551900</v>
      </c>
      <c r="D84" s="9">
        <f>IF(Tabla9[[#This Row],[CANTIDAD DE REPUESTOS]]&lt;=B40,$C$53*$F$53*Tabla9[[#This Row],[CANTIDAD DE REPUESTOS]],$C$53*$F$53*Tabla9[[#This Row],[CANTIDAD DE REPUESTOS]])</f>
        <v>813114</v>
      </c>
      <c r="E84" s="9">
        <f>IF(Tabla9[[#This Row],[CANTIDAD DE REPUESTOS]]&lt;=B40,$C$53*$N$53*Tabla9[[#This Row],[CANTIDAD DE REPUESTOS]],$C$53*$N$53*Tabla9[[#This Row],[CANTIDAD DE REPUESTOS]])</f>
        <v>2032785</v>
      </c>
      <c r="F84" s="9">
        <f>IF(Tabla9[[#This Row],[CANTIDAD DE REPUESTOS]]&lt;=B40,Tabla9[[#This Row],[CANTIDAD DE REPUESTOS]]*($C$53)*($H$53+$J$53+$L$53),Tabla9[[#This Row],[CANTIDAD DE REPUESTOS]]*($C$53)*($H$53+$J$53+$L$53))</f>
        <v>2032785</v>
      </c>
      <c r="G84" s="9">
        <f>Tabla9[[#This Row],[COSTO DE COMPRA REPUESTOS]]+Tabla9[[#This Row],[COSTO DE ALMACENAMIENTO]]+Tabla9[[#This Row],[COSTO DE TRANSPORTE]]+Tabla9[[#This Row],[COSTOS DE IMPUESTOS Y OBSOLECENCIA]]</f>
        <v>18430584</v>
      </c>
      <c r="H84" s="30"/>
      <c r="I84" s="30"/>
      <c r="J84" s="30"/>
      <c r="K84" s="30"/>
      <c r="L84" s="30"/>
      <c r="M84" s="30"/>
      <c r="N84" s="41"/>
    </row>
    <row r="85" spans="2:14" x14ac:dyDescent="0.3">
      <c r="B85" s="14">
        <f t="shared" si="4"/>
        <v>31</v>
      </c>
      <c r="C85" s="9">
        <f>IF(Tabla9[[#This Row],[CANTIDAD DE REPUESTOS]]&lt;=B41,Tabla9[[#This Row],[CANTIDAD DE REPUESTOS]]*$C$53,Tabla9[[#This Row],[CANTIDAD DE REPUESTOS]]*$C$53)</f>
        <v>14003630</v>
      </c>
      <c r="D85" s="9">
        <f>IF(Tabla9[[#This Row],[CANTIDAD DE REPUESTOS]]&lt;=B41,$C$53*$F$53*Tabla9[[#This Row],[CANTIDAD DE REPUESTOS]],$C$53*$F$53*Tabla9[[#This Row],[CANTIDAD DE REPUESTOS]])</f>
        <v>840217.79999999993</v>
      </c>
      <c r="E85" s="9">
        <f>IF(Tabla9[[#This Row],[CANTIDAD DE REPUESTOS]]&lt;=B41,$C$53*$N$53*Tabla9[[#This Row],[CANTIDAD DE REPUESTOS]],$C$53*$N$53*Tabla9[[#This Row],[CANTIDAD DE REPUESTOS]])</f>
        <v>2100544.5</v>
      </c>
      <c r="F85" s="9">
        <f>IF(Tabla9[[#This Row],[CANTIDAD DE REPUESTOS]]&lt;=B41,Tabla9[[#This Row],[CANTIDAD DE REPUESTOS]]*($C$53)*($H$53+$J$53+$L$53),Tabla9[[#This Row],[CANTIDAD DE REPUESTOS]]*($C$53)*($H$53+$J$53+$L$53))</f>
        <v>2100544.5</v>
      </c>
      <c r="G85" s="9">
        <f>Tabla9[[#This Row],[COSTO DE COMPRA REPUESTOS]]+Tabla9[[#This Row],[COSTO DE ALMACENAMIENTO]]+Tabla9[[#This Row],[COSTO DE TRANSPORTE]]+Tabla9[[#This Row],[COSTOS DE IMPUESTOS Y OBSOLECENCIA]]</f>
        <v>19044936.800000001</v>
      </c>
      <c r="H85" s="30"/>
      <c r="I85" s="30"/>
      <c r="J85" s="30"/>
      <c r="K85" s="30"/>
      <c r="L85" s="30"/>
      <c r="M85" s="30"/>
      <c r="N85" s="41"/>
    </row>
    <row r="86" spans="2:14" x14ac:dyDescent="0.3">
      <c r="B86" s="14">
        <f t="shared" si="4"/>
        <v>32</v>
      </c>
      <c r="C86" s="9">
        <f>IF(Tabla9[[#This Row],[CANTIDAD DE REPUESTOS]]&lt;=B42,Tabla9[[#This Row],[CANTIDAD DE REPUESTOS]]*$C$53,Tabla9[[#This Row],[CANTIDAD DE REPUESTOS]]*$C$53)</f>
        <v>14455360</v>
      </c>
      <c r="D86" s="9">
        <f>IF(Tabla9[[#This Row],[CANTIDAD DE REPUESTOS]]&lt;=B42,$C$53*$F$53*Tabla9[[#This Row],[CANTIDAD DE REPUESTOS]],$C$53*$F$53*Tabla9[[#This Row],[CANTIDAD DE REPUESTOS]])</f>
        <v>867321.6</v>
      </c>
      <c r="E86" s="9">
        <f>IF(Tabla9[[#This Row],[CANTIDAD DE REPUESTOS]]&lt;=B42,$C$53*$N$53*Tabla9[[#This Row],[CANTIDAD DE REPUESTOS]],$C$53*$N$53*Tabla9[[#This Row],[CANTIDAD DE REPUESTOS]])</f>
        <v>2168304</v>
      </c>
      <c r="F86" s="9">
        <f>IF(Tabla9[[#This Row],[CANTIDAD DE REPUESTOS]]&lt;=B42,Tabla9[[#This Row],[CANTIDAD DE REPUESTOS]]*($C$53)*($H$53+$J$53+$L$53),Tabla9[[#This Row],[CANTIDAD DE REPUESTOS]]*($C$53)*($H$53+$J$53+$L$53))</f>
        <v>2168304</v>
      </c>
      <c r="G86" s="9">
        <f>Tabla9[[#This Row],[COSTO DE COMPRA REPUESTOS]]+Tabla9[[#This Row],[COSTO DE ALMACENAMIENTO]]+Tabla9[[#This Row],[COSTO DE TRANSPORTE]]+Tabla9[[#This Row],[COSTOS DE IMPUESTOS Y OBSOLECENCIA]]</f>
        <v>19659289.600000001</v>
      </c>
      <c r="H86" s="30"/>
      <c r="I86" s="30"/>
      <c r="J86" s="30"/>
      <c r="K86" s="30"/>
      <c r="L86" s="30"/>
      <c r="M86" s="30"/>
      <c r="N86" s="41"/>
    </row>
    <row r="87" spans="2:14" x14ac:dyDescent="0.3">
      <c r="B87" s="14">
        <f t="shared" si="4"/>
        <v>33</v>
      </c>
      <c r="C87" s="9">
        <f>IF(Tabla9[[#This Row],[CANTIDAD DE REPUESTOS]]&lt;=B43,Tabla9[[#This Row],[CANTIDAD DE REPUESTOS]]*$C$53,Tabla9[[#This Row],[CANTIDAD DE REPUESTOS]]*$C$53)</f>
        <v>14907090</v>
      </c>
      <c r="D87" s="9">
        <f>IF(Tabla9[[#This Row],[CANTIDAD DE REPUESTOS]]&lt;=B43,$C$53*$F$53*Tabla9[[#This Row],[CANTIDAD DE REPUESTOS]],$C$53*$F$53*Tabla9[[#This Row],[CANTIDAD DE REPUESTOS]])</f>
        <v>894425.4</v>
      </c>
      <c r="E87" s="9">
        <f>IF(Tabla9[[#This Row],[CANTIDAD DE REPUESTOS]]&lt;=B43,$C$53*$N$53*Tabla9[[#This Row],[CANTIDAD DE REPUESTOS]],$C$53*$N$53*Tabla9[[#This Row],[CANTIDAD DE REPUESTOS]])</f>
        <v>2236063.5</v>
      </c>
      <c r="F87" s="9">
        <f>IF(Tabla9[[#This Row],[CANTIDAD DE REPUESTOS]]&lt;=B43,Tabla9[[#This Row],[CANTIDAD DE REPUESTOS]]*($C$53)*($H$53+$J$53+$L$53),Tabla9[[#This Row],[CANTIDAD DE REPUESTOS]]*($C$53)*($H$53+$J$53+$L$53))</f>
        <v>2236063.5</v>
      </c>
      <c r="G87" s="9">
        <f>Tabla9[[#This Row],[COSTO DE COMPRA REPUESTOS]]+Tabla9[[#This Row],[COSTO DE ALMACENAMIENTO]]+Tabla9[[#This Row],[COSTO DE TRANSPORTE]]+Tabla9[[#This Row],[COSTOS DE IMPUESTOS Y OBSOLECENCIA]]</f>
        <v>20273642.399999999</v>
      </c>
      <c r="H87" s="30"/>
      <c r="I87" s="30"/>
      <c r="J87" s="30"/>
      <c r="K87" s="30"/>
      <c r="L87" s="30"/>
      <c r="M87" s="30"/>
      <c r="N87" s="41"/>
    </row>
    <row r="88" spans="2:14" x14ac:dyDescent="0.3">
      <c r="B88" s="14">
        <f t="shared" si="4"/>
        <v>34</v>
      </c>
      <c r="C88" s="9">
        <f>IF(Tabla9[[#This Row],[CANTIDAD DE REPUESTOS]]&lt;=B44,Tabla9[[#This Row],[CANTIDAD DE REPUESTOS]]*$C$53,Tabla9[[#This Row],[CANTIDAD DE REPUESTOS]]*$C$53)</f>
        <v>15358820</v>
      </c>
      <c r="D88" s="9">
        <f>IF(Tabla9[[#This Row],[CANTIDAD DE REPUESTOS]]&lt;=B44,$C$53*$F$53*Tabla9[[#This Row],[CANTIDAD DE REPUESTOS]],$C$53*$F$53*Tabla9[[#This Row],[CANTIDAD DE REPUESTOS]])</f>
        <v>921529.2</v>
      </c>
      <c r="E88" s="9">
        <f>IF(Tabla9[[#This Row],[CANTIDAD DE REPUESTOS]]&lt;=B44,$C$53*$N$53*Tabla9[[#This Row],[CANTIDAD DE REPUESTOS]],$C$53*$N$53*Tabla9[[#This Row],[CANTIDAD DE REPUESTOS]])</f>
        <v>2303823</v>
      </c>
      <c r="F88" s="9">
        <f>IF(Tabla9[[#This Row],[CANTIDAD DE REPUESTOS]]&lt;=B44,Tabla9[[#This Row],[CANTIDAD DE REPUESTOS]]*($C$53)*($H$53+$J$53+$L$53),Tabla9[[#This Row],[CANTIDAD DE REPUESTOS]]*($C$53)*($H$53+$J$53+$L$53))</f>
        <v>2303823</v>
      </c>
      <c r="G88" s="9">
        <f>Tabla9[[#This Row],[COSTO DE COMPRA REPUESTOS]]+Tabla9[[#This Row],[COSTO DE ALMACENAMIENTO]]+Tabla9[[#This Row],[COSTO DE TRANSPORTE]]+Tabla9[[#This Row],[COSTOS DE IMPUESTOS Y OBSOLECENCIA]]</f>
        <v>20887995.199999999</v>
      </c>
      <c r="H88" s="30"/>
      <c r="I88" s="30"/>
      <c r="J88" s="30"/>
      <c r="K88" s="30"/>
      <c r="L88" s="30"/>
      <c r="M88" s="30"/>
      <c r="N88" s="41"/>
    </row>
    <row r="89" spans="2:14" x14ac:dyDescent="0.3">
      <c r="B89" s="14">
        <f t="shared" si="4"/>
        <v>35</v>
      </c>
      <c r="C89" s="9">
        <f>IF(Tabla9[[#This Row],[CANTIDAD DE REPUESTOS]]&lt;=B45,Tabla9[[#This Row],[CANTIDAD DE REPUESTOS]]*$C$53,Tabla9[[#This Row],[CANTIDAD DE REPUESTOS]]*$C$53)</f>
        <v>15810550</v>
      </c>
      <c r="D89" s="9">
        <f>IF(Tabla9[[#This Row],[CANTIDAD DE REPUESTOS]]&lt;=B45,$C$53*$F$53*Tabla9[[#This Row],[CANTIDAD DE REPUESTOS]],$C$53*$F$53*Tabla9[[#This Row],[CANTIDAD DE REPUESTOS]])</f>
        <v>948633</v>
      </c>
      <c r="E89" s="9">
        <f>IF(Tabla9[[#This Row],[CANTIDAD DE REPUESTOS]]&lt;=B45,$C$53*$N$53*Tabla9[[#This Row],[CANTIDAD DE REPUESTOS]],$C$53*$N$53*Tabla9[[#This Row],[CANTIDAD DE REPUESTOS]])</f>
        <v>2371582.5</v>
      </c>
      <c r="F89" s="9">
        <f>IF(Tabla9[[#This Row],[CANTIDAD DE REPUESTOS]]&lt;=B45,Tabla9[[#This Row],[CANTIDAD DE REPUESTOS]]*($C$53)*($H$53+$J$53+$L$53),Tabla9[[#This Row],[CANTIDAD DE REPUESTOS]]*($C$53)*($H$53+$J$53+$L$53))</f>
        <v>2371582.5</v>
      </c>
      <c r="G89" s="9">
        <f>Tabla9[[#This Row],[COSTO DE COMPRA REPUESTOS]]+Tabla9[[#This Row],[COSTO DE ALMACENAMIENTO]]+Tabla9[[#This Row],[COSTO DE TRANSPORTE]]+Tabla9[[#This Row],[COSTOS DE IMPUESTOS Y OBSOLECENCIA]]</f>
        <v>21502348</v>
      </c>
      <c r="H89" s="30"/>
      <c r="I89" s="30"/>
      <c r="J89" s="30"/>
      <c r="K89" s="30"/>
      <c r="L89" s="30"/>
      <c r="M89" s="30"/>
      <c r="N89" s="41"/>
    </row>
    <row r="90" spans="2:14" x14ac:dyDescent="0.3">
      <c r="B90" s="14">
        <f>B89+1</f>
        <v>36</v>
      </c>
      <c r="C90" s="9">
        <f>IF(Tabla9[[#This Row],[CANTIDAD DE REPUESTOS]]&lt;=B46,Tabla9[[#This Row],[CANTIDAD DE REPUESTOS]]*$C$53,Tabla9[[#This Row],[CANTIDAD DE REPUESTOS]]*$C$53)</f>
        <v>16262280</v>
      </c>
      <c r="D90" s="9">
        <f>IF(Tabla9[[#This Row],[CANTIDAD DE REPUESTOS]]&lt;=B46,$C$53*$F$53*Tabla9[[#This Row],[CANTIDAD DE REPUESTOS]],$C$53*$F$53*Tabla9[[#This Row],[CANTIDAD DE REPUESTOS]])</f>
        <v>975736.79999999993</v>
      </c>
      <c r="E90" s="9">
        <f>IF(Tabla9[[#This Row],[CANTIDAD DE REPUESTOS]]&lt;=B46,$C$53*$N$53*Tabla9[[#This Row],[CANTIDAD DE REPUESTOS]],$C$53*$N$53*Tabla9[[#This Row],[CANTIDAD DE REPUESTOS]])</f>
        <v>2439342</v>
      </c>
      <c r="F90" s="9">
        <f>IF(Tabla9[[#This Row],[CANTIDAD DE REPUESTOS]]&lt;=B46,Tabla9[[#This Row],[CANTIDAD DE REPUESTOS]]*($C$53)*($H$53+$J$53+$L$53),Tabla9[[#This Row],[CANTIDAD DE REPUESTOS]]*($C$53)*($H$53+$J$53+$L$53))</f>
        <v>2439342</v>
      </c>
      <c r="G90" s="9">
        <f>Tabla9[[#This Row],[COSTO DE COMPRA REPUESTOS]]+Tabla9[[#This Row],[COSTO DE ALMACENAMIENTO]]+Tabla9[[#This Row],[COSTO DE TRANSPORTE]]+Tabla9[[#This Row],[COSTOS DE IMPUESTOS Y OBSOLECENCIA]]</f>
        <v>22116700.800000001</v>
      </c>
      <c r="H90" s="30"/>
      <c r="I90" s="30"/>
      <c r="J90" s="30"/>
      <c r="K90" s="30"/>
      <c r="L90" s="30"/>
      <c r="M90" s="30"/>
      <c r="N90" s="41"/>
    </row>
    <row r="91" spans="2:14" x14ac:dyDescent="0.3">
      <c r="B91" s="14">
        <f t="shared" si="4"/>
        <v>37</v>
      </c>
      <c r="C91" s="9">
        <f>IF(Tabla9[[#This Row],[CANTIDAD DE REPUESTOS]]&lt;=B47,Tabla9[[#This Row],[CANTIDAD DE REPUESTOS]]*$C$53,Tabla9[[#This Row],[CANTIDAD DE REPUESTOS]]*$C$53)</f>
        <v>16714010</v>
      </c>
      <c r="D91" s="9">
        <f>IF(Tabla9[[#This Row],[CANTIDAD DE REPUESTOS]]&lt;=B47,$C$53*$F$53*Tabla9[[#This Row],[CANTIDAD DE REPUESTOS]],$C$53*$F$53*Tabla9[[#This Row],[CANTIDAD DE REPUESTOS]])</f>
        <v>1002840.6</v>
      </c>
      <c r="E91" s="9">
        <f>IF(Tabla9[[#This Row],[CANTIDAD DE REPUESTOS]]&lt;=B47,$C$53*$N$53*Tabla9[[#This Row],[CANTIDAD DE REPUESTOS]],$C$53*$N$53*Tabla9[[#This Row],[CANTIDAD DE REPUESTOS]])</f>
        <v>2507101.5</v>
      </c>
      <c r="F91" s="9">
        <f>IF(Tabla9[[#This Row],[CANTIDAD DE REPUESTOS]]&lt;=B47,Tabla9[[#This Row],[CANTIDAD DE REPUESTOS]]*($C$53)*($H$53+$J$53+$L$53),Tabla9[[#This Row],[CANTIDAD DE REPUESTOS]]*($C$53)*($H$53+$J$53+$L$53))</f>
        <v>2507101.5</v>
      </c>
      <c r="G91" s="9">
        <f>Tabla9[[#This Row],[COSTO DE COMPRA REPUESTOS]]+Tabla9[[#This Row],[COSTO DE ALMACENAMIENTO]]+Tabla9[[#This Row],[COSTO DE TRANSPORTE]]+Tabla9[[#This Row],[COSTOS DE IMPUESTOS Y OBSOLECENCIA]]</f>
        <v>22731053.600000001</v>
      </c>
      <c r="H91" s="30"/>
      <c r="I91" s="30"/>
      <c r="J91" s="30"/>
      <c r="K91" s="30"/>
      <c r="L91" s="30"/>
      <c r="M91" s="30"/>
      <c r="N91" s="41"/>
    </row>
    <row r="92" spans="2:14" x14ac:dyDescent="0.3">
      <c r="B92" s="14">
        <f t="shared" si="4"/>
        <v>38</v>
      </c>
      <c r="C92" s="9">
        <f>IF(Tabla9[[#This Row],[CANTIDAD DE REPUESTOS]]&lt;=B48,Tabla9[[#This Row],[CANTIDAD DE REPUESTOS]]*$C$53,Tabla9[[#This Row],[CANTIDAD DE REPUESTOS]]*$C$53)</f>
        <v>17165740</v>
      </c>
      <c r="D92" s="9">
        <f>IF(Tabla9[[#This Row],[CANTIDAD DE REPUESTOS]]&lt;=B48,$C$53*$F$53*Tabla9[[#This Row],[CANTIDAD DE REPUESTOS]],$C$53*$F$53*Tabla9[[#This Row],[CANTIDAD DE REPUESTOS]])</f>
        <v>1029944.4</v>
      </c>
      <c r="E92" s="9">
        <f>IF(Tabla9[[#This Row],[CANTIDAD DE REPUESTOS]]&lt;=B48,$C$53*$N$53*Tabla9[[#This Row],[CANTIDAD DE REPUESTOS]],$C$53*$N$53*Tabla9[[#This Row],[CANTIDAD DE REPUESTOS]])</f>
        <v>2574861</v>
      </c>
      <c r="F92" s="9">
        <f>IF(Tabla9[[#This Row],[CANTIDAD DE REPUESTOS]]&lt;=B48,Tabla9[[#This Row],[CANTIDAD DE REPUESTOS]]*($C$53)*($H$53+$J$53+$L$53),Tabla9[[#This Row],[CANTIDAD DE REPUESTOS]]*($C$53)*($H$53+$J$53+$L$53))</f>
        <v>2574861</v>
      </c>
      <c r="G92" s="9">
        <f>Tabla9[[#This Row],[COSTO DE COMPRA REPUESTOS]]+Tabla9[[#This Row],[COSTO DE ALMACENAMIENTO]]+Tabla9[[#This Row],[COSTO DE TRANSPORTE]]+Tabla9[[#This Row],[COSTOS DE IMPUESTOS Y OBSOLECENCIA]]</f>
        <v>23345406.399999999</v>
      </c>
      <c r="H92" s="30"/>
      <c r="I92" s="30"/>
      <c r="J92" s="30"/>
      <c r="K92" s="30"/>
      <c r="L92" s="30"/>
      <c r="M92" s="30"/>
      <c r="N92" s="41"/>
    </row>
    <row r="93" spans="2:14" x14ac:dyDescent="0.3">
      <c r="B93" s="14">
        <f t="shared" si="4"/>
        <v>39</v>
      </c>
      <c r="C93" s="9">
        <f>IF(Tabla9[[#This Row],[CANTIDAD DE REPUESTOS]]&lt;=B49,Tabla9[[#This Row],[CANTIDAD DE REPUESTOS]]*$C$53,Tabla9[[#This Row],[CANTIDAD DE REPUESTOS]]*$C$53)</f>
        <v>17617470</v>
      </c>
      <c r="D93" s="9">
        <f>IF(Tabla9[[#This Row],[CANTIDAD DE REPUESTOS]]&lt;=B49,$C$53*$F$53*Tabla9[[#This Row],[CANTIDAD DE REPUESTOS]],$C$53*$F$53*Tabla9[[#This Row],[CANTIDAD DE REPUESTOS]])</f>
        <v>1057048.2</v>
      </c>
      <c r="E93" s="9">
        <f>IF(Tabla9[[#This Row],[CANTIDAD DE REPUESTOS]]&lt;=B49,$C$53*$N$53*Tabla9[[#This Row],[CANTIDAD DE REPUESTOS]],$C$53*$N$53*Tabla9[[#This Row],[CANTIDAD DE REPUESTOS]])</f>
        <v>2642620.5</v>
      </c>
      <c r="F93" s="9">
        <f>IF(Tabla9[[#This Row],[CANTIDAD DE REPUESTOS]]&lt;=B49,Tabla9[[#This Row],[CANTIDAD DE REPUESTOS]]*($C$53)*($H$53+$J$53+$L$53),Tabla9[[#This Row],[CANTIDAD DE REPUESTOS]]*($C$53)*($H$53+$J$53+$L$53))</f>
        <v>2642620.5</v>
      </c>
      <c r="G93" s="9">
        <f>Tabla9[[#This Row],[COSTO DE COMPRA REPUESTOS]]+Tabla9[[#This Row],[COSTO DE ALMACENAMIENTO]]+Tabla9[[#This Row],[COSTO DE TRANSPORTE]]+Tabla9[[#This Row],[COSTOS DE IMPUESTOS Y OBSOLECENCIA]]</f>
        <v>23959759.199999999</v>
      </c>
      <c r="H93" s="30"/>
      <c r="I93" s="30"/>
      <c r="J93" s="30"/>
      <c r="K93" s="30"/>
      <c r="L93" s="30"/>
      <c r="M93" s="30"/>
      <c r="N93" s="41"/>
    </row>
    <row r="94" spans="2:14" x14ac:dyDescent="0.3">
      <c r="B94" s="14">
        <f>B93+1</f>
        <v>40</v>
      </c>
      <c r="C94" s="9">
        <f>IF(Tabla9[[#This Row],[CANTIDAD DE REPUESTOS]]&lt;=B50,Tabla9[[#This Row],[CANTIDAD DE REPUESTOS]]*$C$53,Tabla9[[#This Row],[CANTIDAD DE REPUESTOS]]*$C$53)</f>
        <v>18069200</v>
      </c>
      <c r="D94" s="9">
        <f>IF(Tabla9[[#This Row],[CANTIDAD DE REPUESTOS]]&lt;=B50,$C$53*$F$53*Tabla9[[#This Row],[CANTIDAD DE REPUESTOS]],$C$53*$F$53*Tabla9[[#This Row],[CANTIDAD DE REPUESTOS]])</f>
        <v>1084152</v>
      </c>
      <c r="E94" s="9">
        <f>IF(Tabla9[[#This Row],[CANTIDAD DE REPUESTOS]]&lt;=B50,$C$53*$N$53*Tabla9[[#This Row],[CANTIDAD DE REPUESTOS]],$C$53*$N$53*Tabla9[[#This Row],[CANTIDAD DE REPUESTOS]])</f>
        <v>2710380</v>
      </c>
      <c r="F94" s="9">
        <f>IF(Tabla9[[#This Row],[CANTIDAD DE REPUESTOS]]&lt;=B50,Tabla9[[#This Row],[CANTIDAD DE REPUESTOS]]*($C$53)*($H$53+$J$53+$L$53),Tabla9[[#This Row],[CANTIDAD DE REPUESTOS]]*($C$53)*($H$53+$J$53+$L$53))</f>
        <v>2710380</v>
      </c>
      <c r="G94" s="9">
        <f>Tabla9[[#This Row],[COSTO DE COMPRA REPUESTOS]]+Tabla9[[#This Row],[COSTO DE ALMACENAMIENTO]]+Tabla9[[#This Row],[COSTO DE TRANSPORTE]]+Tabla9[[#This Row],[COSTOS DE IMPUESTOS Y OBSOLECENCIA]]</f>
        <v>24574112</v>
      </c>
      <c r="H94" s="30"/>
      <c r="I94" s="30"/>
      <c r="J94" s="30"/>
      <c r="K94" s="30"/>
      <c r="L94" s="30"/>
      <c r="M94" s="30"/>
      <c r="N94" s="41"/>
    </row>
    <row r="95" spans="2:14" ht="21" x14ac:dyDescent="0.3">
      <c r="B95" s="42" t="s">
        <v>54</v>
      </c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4"/>
    </row>
    <row r="96" spans="2:14" ht="105" customHeight="1" x14ac:dyDescent="0.3">
      <c r="B96" s="45" t="s">
        <v>55</v>
      </c>
      <c r="C96" s="46"/>
      <c r="D96" s="46"/>
      <c r="E96" s="17" t="s">
        <v>37</v>
      </c>
      <c r="F96" s="18" t="s">
        <v>41</v>
      </c>
      <c r="G96" s="19" t="s">
        <v>57</v>
      </c>
      <c r="H96" s="30"/>
      <c r="I96" s="30"/>
      <c r="J96" s="30"/>
      <c r="K96" s="30"/>
      <c r="L96" s="30"/>
      <c r="M96" s="30"/>
      <c r="N96" s="41"/>
    </row>
    <row r="97" spans="2:19" x14ac:dyDescent="0.3">
      <c r="B97" s="47" t="s">
        <v>56</v>
      </c>
      <c r="C97" s="48"/>
      <c r="D97" s="48"/>
      <c r="E97" s="10">
        <v>1</v>
      </c>
      <c r="F97" s="3">
        <f>IF(E97&lt;=B11,100-G11,100-G11)</f>
        <v>97.345197707052336</v>
      </c>
      <c r="G97" s="16">
        <f>IF(E97&lt;=B11,(F97/100)*($D$115+$D$125+$D$133+$D$135),(F97/100)*($D$115+$D$125+$D$133+$D$135))</f>
        <v>27911593.848147701</v>
      </c>
      <c r="H97" s="30"/>
      <c r="I97" s="30"/>
      <c r="J97" s="30"/>
      <c r="K97" s="30"/>
      <c r="L97" s="30"/>
      <c r="M97" s="30"/>
      <c r="N97" s="41"/>
      <c r="R97">
        <v>1</v>
      </c>
      <c r="S97" s="11">
        <f>G55+G97</f>
        <v>28525946.648147702</v>
      </c>
    </row>
    <row r="98" spans="2:19" x14ac:dyDescent="0.3">
      <c r="B98" s="47"/>
      <c r="C98" s="48"/>
      <c r="D98" s="48"/>
      <c r="E98" s="10">
        <f>E97+1</f>
        <v>2</v>
      </c>
      <c r="F98" s="3">
        <f t="shared" ref="F98:F136" si="5">IF(E98&lt;=B12,100-G12,100-G12)</f>
        <v>87.711451146403874</v>
      </c>
      <c r="G98" s="16">
        <f t="shared" ref="G98:G136" si="6">IF(E98&lt;=B12,(F98/100)*($D$115+$D$125+$D$133+$D$135),(F98/100)*($D$115+$D$125+$D$133+$D$135))</f>
        <v>25149328.96430609</v>
      </c>
      <c r="H98" s="30"/>
      <c r="I98" s="30"/>
      <c r="J98" s="30"/>
      <c r="K98" s="30"/>
      <c r="L98" s="30"/>
      <c r="M98" s="30"/>
      <c r="N98" s="41"/>
      <c r="R98">
        <f>R97+1</f>
        <v>2</v>
      </c>
      <c r="S98" s="11">
        <f t="shared" ref="S98:S136" si="7">G56+G98</f>
        <v>26378034.564306092</v>
      </c>
    </row>
    <row r="99" spans="2:19" x14ac:dyDescent="0.3">
      <c r="B99" s="47" t="s">
        <v>42</v>
      </c>
      <c r="C99" s="48"/>
      <c r="D99" s="36">
        <v>10000</v>
      </c>
      <c r="E99" s="10">
        <f t="shared" ref="E99:E136" si="8">E98+1</f>
        <v>3</v>
      </c>
      <c r="F99" s="3">
        <f t="shared" si="5"/>
        <v>70.231981386763323</v>
      </c>
      <c r="G99" s="16">
        <f t="shared" si="6"/>
        <v>20137475.559063874</v>
      </c>
      <c r="H99" s="30"/>
      <c r="I99" s="30"/>
      <c r="J99" s="30"/>
      <c r="K99" s="30"/>
      <c r="L99" s="30"/>
      <c r="M99" s="30"/>
      <c r="N99" s="41"/>
      <c r="R99">
        <f t="shared" ref="R99:R136" si="9">R98+1</f>
        <v>3</v>
      </c>
      <c r="S99" s="11">
        <f t="shared" si="7"/>
        <v>21980533.959063873</v>
      </c>
    </row>
    <row r="100" spans="2:19" x14ac:dyDescent="0.3">
      <c r="B100" s="47"/>
      <c r="C100" s="48"/>
      <c r="D100" s="36"/>
      <c r="E100" s="10">
        <f t="shared" si="8"/>
        <v>4</v>
      </c>
      <c r="F100" s="3">
        <f t="shared" si="5"/>
        <v>49.0888147655021</v>
      </c>
      <c r="G100" s="16">
        <f t="shared" si="6"/>
        <v>14075137.680082886</v>
      </c>
      <c r="H100" s="30"/>
      <c r="I100" s="30"/>
      <c r="J100" s="30"/>
      <c r="K100" s="30"/>
      <c r="L100" s="30"/>
      <c r="M100" s="30"/>
      <c r="N100" s="41"/>
      <c r="R100">
        <f t="shared" si="9"/>
        <v>4</v>
      </c>
      <c r="S100" s="11">
        <f t="shared" si="7"/>
        <v>16532548.880082887</v>
      </c>
    </row>
    <row r="101" spans="2:19" x14ac:dyDescent="0.3">
      <c r="B101" s="45" t="s">
        <v>43</v>
      </c>
      <c r="C101" s="46"/>
      <c r="D101" s="40">
        <v>4000</v>
      </c>
      <c r="E101" s="10">
        <f t="shared" si="8"/>
        <v>5</v>
      </c>
      <c r="F101" s="3">
        <f t="shared" si="5"/>
        <v>29.907734006693914</v>
      </c>
      <c r="G101" s="16">
        <f t="shared" si="6"/>
        <v>8575384.7562713325</v>
      </c>
      <c r="H101" s="30"/>
      <c r="I101" s="30"/>
      <c r="J101" s="30"/>
      <c r="K101" s="30"/>
      <c r="L101" s="30"/>
      <c r="M101" s="30"/>
      <c r="N101" s="41"/>
      <c r="R101">
        <f t="shared" si="9"/>
        <v>5</v>
      </c>
      <c r="S101" s="11">
        <f t="shared" si="7"/>
        <v>11647148.756271333</v>
      </c>
    </row>
    <row r="102" spans="2:19" x14ac:dyDescent="0.3">
      <c r="B102" s="45"/>
      <c r="C102" s="46"/>
      <c r="D102" s="40"/>
      <c r="E102" s="10">
        <f t="shared" si="8"/>
        <v>6</v>
      </c>
      <c r="F102" s="3">
        <f t="shared" si="5"/>
        <v>15.986872835181259</v>
      </c>
      <c r="G102" s="16">
        <f t="shared" si="6"/>
        <v>4583884.0742858518</v>
      </c>
      <c r="H102" s="30"/>
      <c r="I102" s="30"/>
      <c r="J102" s="30"/>
      <c r="K102" s="30"/>
      <c r="L102" s="30"/>
      <c r="M102" s="30"/>
      <c r="N102" s="41"/>
      <c r="R102">
        <f t="shared" si="9"/>
        <v>6</v>
      </c>
      <c r="S102" s="11">
        <f t="shared" si="7"/>
        <v>8270000.8742858516</v>
      </c>
    </row>
    <row r="103" spans="2:19" x14ac:dyDescent="0.3">
      <c r="B103" s="29" t="s">
        <v>44</v>
      </c>
      <c r="C103" s="30"/>
      <c r="D103" s="40">
        <v>3</v>
      </c>
      <c r="E103" s="10">
        <f t="shared" si="8"/>
        <v>7</v>
      </c>
      <c r="F103" s="3">
        <f t="shared" si="5"/>
        <v>7.5675359986504276</v>
      </c>
      <c r="G103" s="16">
        <f t="shared" si="6"/>
        <v>2169824.4618210397</v>
      </c>
      <c r="H103" s="30"/>
      <c r="I103" s="30"/>
      <c r="J103" s="30"/>
      <c r="K103" s="30"/>
      <c r="L103" s="30"/>
      <c r="M103" s="30"/>
      <c r="N103" s="41"/>
      <c r="R103">
        <f t="shared" si="9"/>
        <v>7</v>
      </c>
      <c r="S103" s="11">
        <f t="shared" si="7"/>
        <v>6470294.0618210398</v>
      </c>
    </row>
    <row r="104" spans="2:19" x14ac:dyDescent="0.3">
      <c r="B104" s="29"/>
      <c r="C104" s="30"/>
      <c r="D104" s="40"/>
      <c r="E104" s="10">
        <f t="shared" si="8"/>
        <v>8</v>
      </c>
      <c r="F104" s="3">
        <f t="shared" si="5"/>
        <v>3.202951782592848</v>
      </c>
      <c r="G104" s="16">
        <f t="shared" si="6"/>
        <v>918375.95871928206</v>
      </c>
      <c r="H104" s="30"/>
      <c r="I104" s="30"/>
      <c r="J104" s="30"/>
      <c r="K104" s="30"/>
      <c r="L104" s="30"/>
      <c r="M104" s="30"/>
      <c r="N104" s="41"/>
      <c r="R104">
        <f t="shared" si="9"/>
        <v>8</v>
      </c>
      <c r="S104" s="11">
        <f t="shared" si="7"/>
        <v>5833198.3587192828</v>
      </c>
    </row>
    <row r="105" spans="2:19" x14ac:dyDescent="0.3">
      <c r="B105" s="29" t="s">
        <v>16</v>
      </c>
      <c r="C105" s="30"/>
      <c r="D105" s="30">
        <f>E7</f>
        <v>2.0999999999999999E-5</v>
      </c>
      <c r="E105" s="10">
        <f t="shared" si="8"/>
        <v>9</v>
      </c>
      <c r="F105" s="3">
        <f t="shared" si="5"/>
        <v>1.2231763821891235</v>
      </c>
      <c r="G105" s="16">
        <f t="shared" si="6"/>
        <v>350718.91771232302</v>
      </c>
      <c r="H105" s="30"/>
      <c r="I105" s="30"/>
      <c r="J105" s="30"/>
      <c r="K105" s="30"/>
      <c r="L105" s="30"/>
      <c r="M105" s="30"/>
      <c r="N105" s="41"/>
      <c r="R105">
        <f t="shared" si="9"/>
        <v>9</v>
      </c>
      <c r="S105" s="11">
        <f t="shared" si="7"/>
        <v>5879894.1177123236</v>
      </c>
    </row>
    <row r="106" spans="2:19" x14ac:dyDescent="0.3">
      <c r="B106" s="29"/>
      <c r="C106" s="30"/>
      <c r="D106" s="30"/>
      <c r="E106" s="10">
        <f t="shared" si="8"/>
        <v>10</v>
      </c>
      <c r="F106" s="3">
        <f t="shared" si="5"/>
        <v>0.42493094074633575</v>
      </c>
      <c r="G106" s="16">
        <f t="shared" si="6"/>
        <v>121839.59877831537</v>
      </c>
      <c r="H106" s="30"/>
      <c r="I106" s="30"/>
      <c r="J106" s="30"/>
      <c r="K106" s="30"/>
      <c r="L106" s="30"/>
      <c r="M106" s="30"/>
      <c r="N106" s="41"/>
      <c r="R106">
        <f t="shared" si="9"/>
        <v>10</v>
      </c>
      <c r="S106" s="11">
        <f t="shared" si="7"/>
        <v>6265367.5987783158</v>
      </c>
    </row>
    <row r="107" spans="2:19" x14ac:dyDescent="0.3">
      <c r="B107" s="29" t="s">
        <v>45</v>
      </c>
      <c r="C107" s="30"/>
      <c r="D107" s="30">
        <f>C7*30*24</f>
        <v>8640</v>
      </c>
      <c r="E107" s="10">
        <f t="shared" si="8"/>
        <v>11</v>
      </c>
      <c r="F107" s="3">
        <f t="shared" si="5"/>
        <v>0.13526363495557803</v>
      </c>
      <c r="G107" s="16">
        <f t="shared" si="6"/>
        <v>38783.871523542977</v>
      </c>
      <c r="H107" s="30"/>
      <c r="I107" s="30"/>
      <c r="J107" s="30"/>
      <c r="K107" s="30"/>
      <c r="L107" s="30"/>
      <c r="M107" s="30"/>
      <c r="N107" s="41"/>
      <c r="R107">
        <f t="shared" si="9"/>
        <v>11</v>
      </c>
      <c r="S107" s="11">
        <f t="shared" si="7"/>
        <v>6796664.6715235431</v>
      </c>
    </row>
    <row r="108" spans="2:19" x14ac:dyDescent="0.3">
      <c r="B108" s="29"/>
      <c r="C108" s="30"/>
      <c r="D108" s="30"/>
      <c r="E108" s="10">
        <f t="shared" si="8"/>
        <v>12</v>
      </c>
      <c r="F108" s="3">
        <f t="shared" si="5"/>
        <v>3.9705024114354615E-2</v>
      </c>
      <c r="G108" s="16">
        <f t="shared" si="6"/>
        <v>11384.542154260669</v>
      </c>
      <c r="H108" s="30"/>
      <c r="I108" s="30"/>
      <c r="J108" s="30"/>
      <c r="K108" s="30"/>
      <c r="L108" s="30"/>
      <c r="M108" s="30"/>
      <c r="N108" s="41"/>
      <c r="R108">
        <f t="shared" si="9"/>
        <v>12</v>
      </c>
      <c r="S108" s="11">
        <f t="shared" si="7"/>
        <v>7383618.1421542605</v>
      </c>
    </row>
    <row r="109" spans="2:19" x14ac:dyDescent="0.3">
      <c r="B109" s="29" t="s">
        <v>46</v>
      </c>
      <c r="C109" s="30"/>
      <c r="D109" s="30">
        <f>D105*D107</f>
        <v>0.18143999999999999</v>
      </c>
      <c r="E109" s="10">
        <f t="shared" si="8"/>
        <v>13</v>
      </c>
      <c r="F109" s="3">
        <f t="shared" si="5"/>
        <v>1.0808100195959014E-2</v>
      </c>
      <c r="G109" s="16">
        <f t="shared" si="6"/>
        <v>3098.9849529869362</v>
      </c>
      <c r="H109" s="30"/>
      <c r="I109" s="30"/>
      <c r="J109" s="30"/>
      <c r="K109" s="30"/>
      <c r="L109" s="30"/>
      <c r="M109" s="30"/>
      <c r="N109" s="41"/>
      <c r="R109">
        <f t="shared" si="9"/>
        <v>13</v>
      </c>
      <c r="S109" s="11">
        <f t="shared" si="7"/>
        <v>7989685.3849529875</v>
      </c>
    </row>
    <row r="110" spans="2:19" x14ac:dyDescent="0.3">
      <c r="B110" s="29"/>
      <c r="C110" s="30"/>
      <c r="D110" s="30"/>
      <c r="E110" s="10">
        <f t="shared" si="8"/>
        <v>14</v>
      </c>
      <c r="F110" s="3">
        <f t="shared" si="5"/>
        <v>2.7418573101982702E-3</v>
      </c>
      <c r="G110" s="16">
        <f t="shared" si="6"/>
        <v>786.16726283852961</v>
      </c>
      <c r="H110" s="30"/>
      <c r="I110" s="30"/>
      <c r="J110" s="30"/>
      <c r="K110" s="30"/>
      <c r="L110" s="30"/>
      <c r="M110" s="30"/>
      <c r="N110" s="41"/>
      <c r="R110">
        <f t="shared" si="9"/>
        <v>14</v>
      </c>
      <c r="S110" s="11">
        <f t="shared" si="7"/>
        <v>8601725.3672628384</v>
      </c>
    </row>
    <row r="111" spans="2:19" x14ac:dyDescent="0.3">
      <c r="B111" s="29" t="s">
        <v>47</v>
      </c>
      <c r="C111" s="30"/>
      <c r="D111" s="40">
        <v>2</v>
      </c>
      <c r="E111" s="10">
        <f t="shared" si="8"/>
        <v>15</v>
      </c>
      <c r="F111" s="3">
        <f t="shared" si="5"/>
        <v>6.5108715419626151E-4</v>
      </c>
      <c r="G111" s="16">
        <f t="shared" si="6"/>
        <v>186.68491754838567</v>
      </c>
      <c r="H111" s="30"/>
      <c r="I111" s="30"/>
      <c r="J111" s="30"/>
      <c r="K111" s="30"/>
      <c r="L111" s="30"/>
      <c r="M111" s="30"/>
      <c r="N111" s="41"/>
      <c r="R111">
        <f t="shared" si="9"/>
        <v>15</v>
      </c>
      <c r="S111" s="11">
        <f t="shared" si="7"/>
        <v>9215478.6849175487</v>
      </c>
    </row>
    <row r="112" spans="2:19" x14ac:dyDescent="0.3">
      <c r="B112" s="29"/>
      <c r="C112" s="30"/>
      <c r="D112" s="40"/>
      <c r="E112" s="10">
        <f t="shared" si="8"/>
        <v>16</v>
      </c>
      <c r="F112" s="3">
        <f t="shared" si="5"/>
        <v>1.4528803806967971E-4</v>
      </c>
      <c r="G112" s="16">
        <f t="shared" si="6"/>
        <v>41.658148579643125</v>
      </c>
      <c r="H112" s="30"/>
      <c r="I112" s="30"/>
      <c r="J112" s="30"/>
      <c r="K112" s="30"/>
      <c r="L112" s="30"/>
      <c r="M112" s="30"/>
      <c r="N112" s="41"/>
      <c r="R112">
        <f t="shared" si="9"/>
        <v>16</v>
      </c>
      <c r="S112" s="11">
        <f t="shared" si="7"/>
        <v>9829686.45814858</v>
      </c>
    </row>
    <row r="113" spans="2:19" x14ac:dyDescent="0.3">
      <c r="B113" s="29" t="s">
        <v>48</v>
      </c>
      <c r="C113" s="30"/>
      <c r="D113" s="36">
        <v>200000</v>
      </c>
      <c r="E113" s="10">
        <f t="shared" si="8"/>
        <v>17</v>
      </c>
      <c r="F113" s="3">
        <f t="shared" si="5"/>
        <v>3.0572798522143785E-5</v>
      </c>
      <c r="G113" s="16">
        <f t="shared" si="6"/>
        <v>8.7660773746572431</v>
      </c>
      <c r="H113" s="30"/>
      <c r="I113" s="30"/>
      <c r="J113" s="30"/>
      <c r="K113" s="30"/>
      <c r="L113" s="30"/>
      <c r="M113" s="30"/>
      <c r="N113" s="41"/>
      <c r="R113">
        <f t="shared" si="9"/>
        <v>17</v>
      </c>
      <c r="S113" s="11">
        <f t="shared" si="7"/>
        <v>10444006.366077375</v>
      </c>
    </row>
    <row r="114" spans="2:19" x14ac:dyDescent="0.3">
      <c r="B114" s="29"/>
      <c r="C114" s="30"/>
      <c r="D114" s="36"/>
      <c r="E114" s="10">
        <f t="shared" si="8"/>
        <v>18</v>
      </c>
      <c r="F114" s="3">
        <f t="shared" si="5"/>
        <v>6.0858184554035688E-6</v>
      </c>
      <c r="G114" s="16">
        <f t="shared" si="6"/>
        <v>1.7449745540809543</v>
      </c>
      <c r="H114" s="30"/>
      <c r="I114" s="30"/>
      <c r="J114" s="30"/>
      <c r="K114" s="30"/>
      <c r="L114" s="30"/>
      <c r="M114" s="30"/>
      <c r="N114" s="41"/>
      <c r="R114">
        <f t="shared" si="9"/>
        <v>18</v>
      </c>
      <c r="S114" s="11">
        <f t="shared" si="7"/>
        <v>11058352.144974554</v>
      </c>
    </row>
    <row r="115" spans="2:19" x14ac:dyDescent="0.3">
      <c r="B115" s="31" t="s">
        <v>58</v>
      </c>
      <c r="C115" s="32"/>
      <c r="D115" s="35">
        <f>(D99*D101*D103*D109)+(D111*D113)</f>
        <v>22172800</v>
      </c>
      <c r="E115" s="10">
        <f t="shared" si="8"/>
        <v>19</v>
      </c>
      <c r="F115" s="3">
        <f t="shared" si="5"/>
        <v>1.1492432605564318E-6</v>
      </c>
      <c r="G115" s="16">
        <f t="shared" si="6"/>
        <v>0.32952022161282457</v>
      </c>
      <c r="H115" s="30"/>
      <c r="I115" s="30"/>
      <c r="J115" s="30"/>
      <c r="K115" s="30"/>
      <c r="L115" s="30"/>
      <c r="M115" s="30"/>
      <c r="N115" s="41"/>
      <c r="R115">
        <f t="shared" si="9"/>
        <v>19</v>
      </c>
      <c r="S115" s="11">
        <f t="shared" si="7"/>
        <v>11672703.529520221</v>
      </c>
    </row>
    <row r="116" spans="2:19" x14ac:dyDescent="0.3">
      <c r="B116" s="31"/>
      <c r="C116" s="32"/>
      <c r="D116" s="35"/>
      <c r="E116" s="10">
        <f t="shared" si="8"/>
        <v>20</v>
      </c>
      <c r="F116" s="3">
        <f t="shared" si="5"/>
        <v>2.0640938203086989E-7</v>
      </c>
      <c r="G116" s="16">
        <f t="shared" si="6"/>
        <v>5.9183349290947262E-2</v>
      </c>
      <c r="H116" s="30"/>
      <c r="I116" s="30"/>
      <c r="J116" s="30"/>
      <c r="K116" s="30"/>
      <c r="L116" s="30"/>
      <c r="M116" s="30"/>
      <c r="N116" s="41"/>
      <c r="R116">
        <f t="shared" si="9"/>
        <v>20</v>
      </c>
      <c r="S116" s="11">
        <f t="shared" si="7"/>
        <v>12287056.05918335</v>
      </c>
    </row>
    <row r="117" spans="2:19" x14ac:dyDescent="0.3">
      <c r="B117" s="29" t="s">
        <v>59</v>
      </c>
      <c r="C117" s="30"/>
      <c r="D117" s="30"/>
      <c r="E117" s="10">
        <f t="shared" si="8"/>
        <v>21</v>
      </c>
      <c r="F117" s="3">
        <f t="shared" si="5"/>
        <v>3.5341599868843332E-8</v>
      </c>
      <c r="G117" s="16">
        <f t="shared" si="6"/>
        <v>1.0133426247193711E-2</v>
      </c>
      <c r="H117" s="30"/>
      <c r="I117" s="30"/>
      <c r="J117" s="30"/>
      <c r="K117" s="30"/>
      <c r="L117" s="30"/>
      <c r="M117" s="30"/>
      <c r="N117" s="41"/>
      <c r="R117">
        <f t="shared" si="9"/>
        <v>21</v>
      </c>
      <c r="S117" s="11">
        <f t="shared" si="7"/>
        <v>12901408.810133427</v>
      </c>
    </row>
    <row r="118" spans="2:19" x14ac:dyDescent="0.3">
      <c r="B118" s="29"/>
      <c r="C118" s="30"/>
      <c r="D118" s="30"/>
      <c r="E118" s="10">
        <f t="shared" si="8"/>
        <v>22</v>
      </c>
      <c r="F118" s="3">
        <f t="shared" si="5"/>
        <v>0</v>
      </c>
      <c r="G118" s="16">
        <f t="shared" si="6"/>
        <v>0</v>
      </c>
      <c r="H118" s="30"/>
      <c r="I118" s="30"/>
      <c r="J118" s="30"/>
      <c r="K118" s="30"/>
      <c r="L118" s="30"/>
      <c r="M118" s="30"/>
      <c r="N118" s="41"/>
      <c r="R118">
        <f t="shared" si="9"/>
        <v>22</v>
      </c>
      <c r="S118" s="11">
        <f t="shared" si="7"/>
        <v>13515761.6</v>
      </c>
    </row>
    <row r="119" spans="2:19" x14ac:dyDescent="0.3">
      <c r="B119" s="38" t="s">
        <v>49</v>
      </c>
      <c r="C119" s="39"/>
      <c r="D119" s="36">
        <v>200000</v>
      </c>
      <c r="E119" s="10">
        <f t="shared" si="8"/>
        <v>23</v>
      </c>
      <c r="F119" s="3">
        <f t="shared" si="5"/>
        <v>0</v>
      </c>
      <c r="G119" s="16">
        <f t="shared" si="6"/>
        <v>0</v>
      </c>
      <c r="H119" s="30"/>
      <c r="I119" s="30"/>
      <c r="J119" s="30"/>
      <c r="K119" s="30"/>
      <c r="L119" s="30"/>
      <c r="M119" s="30"/>
      <c r="N119" s="41"/>
      <c r="R119">
        <f t="shared" si="9"/>
        <v>23</v>
      </c>
      <c r="S119" s="11">
        <f t="shared" si="7"/>
        <v>14130114.4</v>
      </c>
    </row>
    <row r="120" spans="2:19" x14ac:dyDescent="0.3">
      <c r="B120" s="38"/>
      <c r="C120" s="39"/>
      <c r="D120" s="36"/>
      <c r="E120" s="10">
        <f t="shared" si="8"/>
        <v>24</v>
      </c>
      <c r="F120" s="3">
        <f t="shared" si="5"/>
        <v>0</v>
      </c>
      <c r="G120" s="16">
        <f t="shared" si="6"/>
        <v>0</v>
      </c>
      <c r="H120" s="30"/>
      <c r="I120" s="30"/>
      <c r="J120" s="30"/>
      <c r="K120" s="30"/>
      <c r="L120" s="30"/>
      <c r="M120" s="30"/>
      <c r="N120" s="41"/>
      <c r="R120">
        <f t="shared" si="9"/>
        <v>24</v>
      </c>
      <c r="S120" s="11">
        <f t="shared" si="7"/>
        <v>14744467.199999999</v>
      </c>
    </row>
    <row r="121" spans="2:19" x14ac:dyDescent="0.3">
      <c r="B121" s="38" t="s">
        <v>50</v>
      </c>
      <c r="C121" s="39"/>
      <c r="D121" s="36">
        <v>1000000</v>
      </c>
      <c r="E121" s="10">
        <f t="shared" si="8"/>
        <v>25</v>
      </c>
      <c r="F121" s="3">
        <f t="shared" si="5"/>
        <v>0</v>
      </c>
      <c r="G121" s="16">
        <f t="shared" si="6"/>
        <v>0</v>
      </c>
      <c r="H121" s="30"/>
      <c r="I121" s="30"/>
      <c r="J121" s="30"/>
      <c r="K121" s="30"/>
      <c r="L121" s="30"/>
      <c r="M121" s="30"/>
      <c r="N121" s="41"/>
      <c r="R121">
        <f t="shared" si="9"/>
        <v>25</v>
      </c>
      <c r="S121" s="11">
        <f t="shared" si="7"/>
        <v>15358820</v>
      </c>
    </row>
    <row r="122" spans="2:19" x14ac:dyDescent="0.3">
      <c r="B122" s="38"/>
      <c r="C122" s="39"/>
      <c r="D122" s="36"/>
      <c r="E122" s="10">
        <f t="shared" si="8"/>
        <v>26</v>
      </c>
      <c r="F122" s="3">
        <f t="shared" si="5"/>
        <v>0</v>
      </c>
      <c r="G122" s="16">
        <f t="shared" si="6"/>
        <v>0</v>
      </c>
      <c r="H122" s="30"/>
      <c r="I122" s="30"/>
      <c r="J122" s="30"/>
      <c r="K122" s="30"/>
      <c r="L122" s="30"/>
      <c r="M122" s="30"/>
      <c r="N122" s="41"/>
      <c r="R122">
        <f t="shared" si="9"/>
        <v>26</v>
      </c>
      <c r="S122" s="11">
        <f t="shared" si="7"/>
        <v>15973172.800000001</v>
      </c>
    </row>
    <row r="123" spans="2:19" x14ac:dyDescent="0.3">
      <c r="B123" s="38" t="s">
        <v>51</v>
      </c>
      <c r="C123" s="39"/>
      <c r="D123" s="36">
        <v>100000</v>
      </c>
      <c r="E123" s="10">
        <f t="shared" si="8"/>
        <v>27</v>
      </c>
      <c r="F123" s="3">
        <f t="shared" si="5"/>
        <v>0</v>
      </c>
      <c r="G123" s="16">
        <f t="shared" si="6"/>
        <v>0</v>
      </c>
      <c r="H123" s="30"/>
      <c r="I123" s="30"/>
      <c r="J123" s="30"/>
      <c r="K123" s="30"/>
      <c r="L123" s="30"/>
      <c r="M123" s="30"/>
      <c r="N123" s="41"/>
      <c r="R123">
        <f t="shared" si="9"/>
        <v>27</v>
      </c>
      <c r="S123" s="11">
        <f t="shared" si="7"/>
        <v>16587525.6</v>
      </c>
    </row>
    <row r="124" spans="2:19" x14ac:dyDescent="0.3">
      <c r="B124" s="38"/>
      <c r="C124" s="39"/>
      <c r="D124" s="36"/>
      <c r="E124" s="10">
        <f t="shared" si="8"/>
        <v>28</v>
      </c>
      <c r="F124" s="3">
        <f t="shared" si="5"/>
        <v>0</v>
      </c>
      <c r="G124" s="16">
        <f t="shared" si="6"/>
        <v>0</v>
      </c>
      <c r="H124" s="30"/>
      <c r="I124" s="30"/>
      <c r="J124" s="30"/>
      <c r="K124" s="30"/>
      <c r="L124" s="30"/>
      <c r="M124" s="30"/>
      <c r="N124" s="41"/>
      <c r="R124">
        <f t="shared" si="9"/>
        <v>28</v>
      </c>
      <c r="S124" s="11">
        <f t="shared" si="7"/>
        <v>17201878.399999999</v>
      </c>
    </row>
    <row r="125" spans="2:19" x14ac:dyDescent="0.3">
      <c r="B125" s="31" t="s">
        <v>60</v>
      </c>
      <c r="C125" s="32"/>
      <c r="D125" s="35">
        <f>D119+D121+D123</f>
        <v>1300000</v>
      </c>
      <c r="E125" s="10">
        <f t="shared" si="8"/>
        <v>29</v>
      </c>
      <c r="F125" s="3">
        <f t="shared" si="5"/>
        <v>0</v>
      </c>
      <c r="G125" s="16">
        <f t="shared" si="6"/>
        <v>0</v>
      </c>
      <c r="H125" s="30"/>
      <c r="I125" s="30"/>
      <c r="J125" s="30"/>
      <c r="K125" s="30"/>
      <c r="L125" s="30"/>
      <c r="M125" s="30"/>
      <c r="N125" s="41"/>
      <c r="R125">
        <f t="shared" si="9"/>
        <v>29</v>
      </c>
      <c r="S125" s="11">
        <f t="shared" si="7"/>
        <v>17816231.199999999</v>
      </c>
    </row>
    <row r="126" spans="2:19" x14ac:dyDescent="0.3">
      <c r="B126" s="31"/>
      <c r="C126" s="32"/>
      <c r="D126" s="35"/>
      <c r="E126" s="10">
        <f t="shared" si="8"/>
        <v>30</v>
      </c>
      <c r="F126" s="3">
        <f t="shared" si="5"/>
        <v>0</v>
      </c>
      <c r="G126" s="16">
        <f t="shared" si="6"/>
        <v>0</v>
      </c>
      <c r="H126" s="30"/>
      <c r="I126" s="30"/>
      <c r="J126" s="30"/>
      <c r="K126" s="30"/>
      <c r="L126" s="30"/>
      <c r="M126" s="30"/>
      <c r="N126" s="41"/>
      <c r="R126">
        <f t="shared" si="9"/>
        <v>30</v>
      </c>
      <c r="S126" s="11">
        <f t="shared" si="7"/>
        <v>18430584</v>
      </c>
    </row>
    <row r="127" spans="2:19" x14ac:dyDescent="0.3">
      <c r="B127" s="29" t="s">
        <v>61</v>
      </c>
      <c r="C127" s="30"/>
      <c r="D127" s="30"/>
      <c r="E127" s="10">
        <f t="shared" si="8"/>
        <v>31</v>
      </c>
      <c r="F127" s="3">
        <f t="shared" si="5"/>
        <v>0</v>
      </c>
      <c r="G127" s="16">
        <f t="shared" si="6"/>
        <v>0</v>
      </c>
      <c r="H127" s="30"/>
      <c r="I127" s="30"/>
      <c r="J127" s="30"/>
      <c r="K127" s="30"/>
      <c r="L127" s="30"/>
      <c r="M127" s="30"/>
      <c r="N127" s="41"/>
      <c r="R127">
        <f t="shared" si="9"/>
        <v>31</v>
      </c>
      <c r="S127" s="11">
        <f t="shared" si="7"/>
        <v>19044936.800000001</v>
      </c>
    </row>
    <row r="128" spans="2:19" x14ac:dyDescent="0.3">
      <c r="B128" s="29"/>
      <c r="C128" s="30"/>
      <c r="D128" s="30"/>
      <c r="E128" s="10">
        <f t="shared" si="8"/>
        <v>32</v>
      </c>
      <c r="F128" s="3">
        <f t="shared" si="5"/>
        <v>0</v>
      </c>
      <c r="G128" s="16">
        <f t="shared" si="6"/>
        <v>0</v>
      </c>
      <c r="H128" s="30"/>
      <c r="I128" s="30"/>
      <c r="J128" s="30"/>
      <c r="K128" s="30"/>
      <c r="L128" s="30"/>
      <c r="M128" s="30"/>
      <c r="N128" s="41"/>
      <c r="R128">
        <f t="shared" si="9"/>
        <v>32</v>
      </c>
      <c r="S128" s="11">
        <f t="shared" si="7"/>
        <v>19659289.600000001</v>
      </c>
    </row>
    <row r="129" spans="2:19" x14ac:dyDescent="0.3">
      <c r="B129" s="29" t="s">
        <v>52</v>
      </c>
      <c r="C129" s="30"/>
      <c r="D129" s="36">
        <v>200000</v>
      </c>
      <c r="E129" s="10">
        <f t="shared" si="8"/>
        <v>33</v>
      </c>
      <c r="F129" s="3">
        <f t="shared" si="5"/>
        <v>0</v>
      </c>
      <c r="G129" s="16">
        <f t="shared" si="6"/>
        <v>0</v>
      </c>
      <c r="H129" s="30"/>
      <c r="I129" s="30"/>
      <c r="J129" s="30"/>
      <c r="K129" s="30"/>
      <c r="L129" s="30"/>
      <c r="M129" s="30"/>
      <c r="N129" s="41"/>
      <c r="R129">
        <f t="shared" si="9"/>
        <v>33</v>
      </c>
      <c r="S129" s="11">
        <f t="shared" si="7"/>
        <v>20273642.399999999</v>
      </c>
    </row>
    <row r="130" spans="2:19" x14ac:dyDescent="0.3">
      <c r="B130" s="29"/>
      <c r="C130" s="30"/>
      <c r="D130" s="36"/>
      <c r="E130" s="10">
        <f t="shared" si="8"/>
        <v>34</v>
      </c>
      <c r="F130" s="3">
        <f t="shared" si="5"/>
        <v>0</v>
      </c>
      <c r="G130" s="16">
        <f t="shared" si="6"/>
        <v>0</v>
      </c>
      <c r="H130" s="30"/>
      <c r="I130" s="30"/>
      <c r="J130" s="30"/>
      <c r="K130" s="30"/>
      <c r="L130" s="30"/>
      <c r="M130" s="30"/>
      <c r="N130" s="41"/>
      <c r="R130">
        <f t="shared" si="9"/>
        <v>34</v>
      </c>
      <c r="S130" s="11">
        <f t="shared" si="7"/>
        <v>20887995.199999999</v>
      </c>
    </row>
    <row r="131" spans="2:19" x14ac:dyDescent="0.3">
      <c r="B131" s="29" t="s">
        <v>53</v>
      </c>
      <c r="C131" s="30"/>
      <c r="D131" s="36">
        <v>2000000</v>
      </c>
      <c r="E131" s="10">
        <f t="shared" si="8"/>
        <v>35</v>
      </c>
      <c r="F131" s="3">
        <f t="shared" si="5"/>
        <v>0</v>
      </c>
      <c r="G131" s="16">
        <f t="shared" si="6"/>
        <v>0</v>
      </c>
      <c r="H131" s="30"/>
      <c r="I131" s="30"/>
      <c r="J131" s="30"/>
      <c r="K131" s="30"/>
      <c r="L131" s="30"/>
      <c r="M131" s="30"/>
      <c r="N131" s="41"/>
      <c r="R131">
        <f t="shared" si="9"/>
        <v>35</v>
      </c>
      <c r="S131" s="11">
        <f t="shared" si="7"/>
        <v>21502348</v>
      </c>
    </row>
    <row r="132" spans="2:19" x14ac:dyDescent="0.3">
      <c r="B132" s="29"/>
      <c r="C132" s="30"/>
      <c r="D132" s="36"/>
      <c r="E132" s="10">
        <f t="shared" si="8"/>
        <v>36</v>
      </c>
      <c r="F132" s="3">
        <f t="shared" si="5"/>
        <v>0</v>
      </c>
      <c r="G132" s="16">
        <f t="shared" si="6"/>
        <v>0</v>
      </c>
      <c r="H132" s="30"/>
      <c r="I132" s="30"/>
      <c r="J132" s="30"/>
      <c r="K132" s="30"/>
      <c r="L132" s="30"/>
      <c r="M132" s="30"/>
      <c r="N132" s="41"/>
      <c r="R132">
        <f t="shared" si="9"/>
        <v>36</v>
      </c>
      <c r="S132" s="11">
        <f t="shared" si="7"/>
        <v>22116700.800000001</v>
      </c>
    </row>
    <row r="133" spans="2:19" x14ac:dyDescent="0.3">
      <c r="B133" s="31" t="s">
        <v>62</v>
      </c>
      <c r="C133" s="32"/>
      <c r="D133" s="37">
        <f>D129+D131</f>
        <v>2200000</v>
      </c>
      <c r="E133" s="10">
        <f t="shared" si="8"/>
        <v>37</v>
      </c>
      <c r="F133" s="3">
        <f t="shared" si="5"/>
        <v>0</v>
      </c>
      <c r="G133" s="16">
        <f t="shared" si="6"/>
        <v>0</v>
      </c>
      <c r="H133" s="30"/>
      <c r="I133" s="30"/>
      <c r="J133" s="30"/>
      <c r="K133" s="30"/>
      <c r="L133" s="30"/>
      <c r="M133" s="30"/>
      <c r="N133" s="41"/>
      <c r="R133">
        <f t="shared" si="9"/>
        <v>37</v>
      </c>
      <c r="S133" s="11">
        <f>G91+G133</f>
        <v>22731053.600000001</v>
      </c>
    </row>
    <row r="134" spans="2:19" x14ac:dyDescent="0.3">
      <c r="B134" s="31"/>
      <c r="C134" s="32"/>
      <c r="D134" s="37"/>
      <c r="E134" s="10">
        <f t="shared" si="8"/>
        <v>38</v>
      </c>
      <c r="F134" s="3">
        <f t="shared" si="5"/>
        <v>0</v>
      </c>
      <c r="G134" s="16">
        <f t="shared" si="6"/>
        <v>0</v>
      </c>
      <c r="H134" s="30"/>
      <c r="I134" s="30"/>
      <c r="J134" s="30"/>
      <c r="K134" s="30"/>
      <c r="L134" s="30"/>
      <c r="M134" s="30"/>
      <c r="N134" s="41"/>
      <c r="R134">
        <f t="shared" si="9"/>
        <v>38</v>
      </c>
      <c r="S134" s="11">
        <f>G92+G134</f>
        <v>23345406.399999999</v>
      </c>
    </row>
    <row r="135" spans="2:19" x14ac:dyDescent="0.3">
      <c r="B135" s="33" t="s">
        <v>63</v>
      </c>
      <c r="C135" s="34"/>
      <c r="D135" s="35">
        <v>3000000</v>
      </c>
      <c r="E135" s="10">
        <f t="shared" si="8"/>
        <v>39</v>
      </c>
      <c r="F135" s="3">
        <f t="shared" si="5"/>
        <v>0</v>
      </c>
      <c r="G135" s="16">
        <f t="shared" si="6"/>
        <v>0</v>
      </c>
      <c r="H135" s="30"/>
      <c r="I135" s="30"/>
      <c r="J135" s="30"/>
      <c r="K135" s="30"/>
      <c r="L135" s="30"/>
      <c r="M135" s="30"/>
      <c r="N135" s="41"/>
      <c r="R135">
        <f t="shared" si="9"/>
        <v>39</v>
      </c>
      <c r="S135" s="11">
        <f t="shared" si="7"/>
        <v>23959759.199999999</v>
      </c>
    </row>
    <row r="136" spans="2:19" x14ac:dyDescent="0.3">
      <c r="B136" s="33"/>
      <c r="C136" s="34"/>
      <c r="D136" s="35"/>
      <c r="E136" s="20">
        <f t="shared" si="8"/>
        <v>40</v>
      </c>
      <c r="F136" s="21">
        <f t="shared" si="5"/>
        <v>0</v>
      </c>
      <c r="G136" s="22">
        <f t="shared" si="6"/>
        <v>0</v>
      </c>
      <c r="H136" s="30"/>
      <c r="I136" s="30"/>
      <c r="J136" s="30"/>
      <c r="K136" s="30"/>
      <c r="L136" s="30"/>
      <c r="M136" s="30"/>
      <c r="N136" s="41"/>
      <c r="R136">
        <f t="shared" si="9"/>
        <v>40</v>
      </c>
      <c r="S136" s="11">
        <f t="shared" si="7"/>
        <v>24574112</v>
      </c>
    </row>
    <row r="137" spans="2:19" ht="21" x14ac:dyDescent="0.4">
      <c r="B137" s="50" t="s">
        <v>64</v>
      </c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2"/>
    </row>
    <row r="138" spans="2:19" x14ac:dyDescent="0.3">
      <c r="B138" s="29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41"/>
    </row>
    <row r="139" spans="2:19" x14ac:dyDescent="0.3">
      <c r="B139" s="29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41"/>
    </row>
    <row r="140" spans="2:19" x14ac:dyDescent="0.3">
      <c r="B140" s="29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41"/>
    </row>
    <row r="141" spans="2:19" x14ac:dyDescent="0.3">
      <c r="B141" s="29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41"/>
    </row>
    <row r="142" spans="2:19" x14ac:dyDescent="0.3">
      <c r="B142" s="29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41"/>
    </row>
    <row r="143" spans="2:19" x14ac:dyDescent="0.3">
      <c r="B143" s="29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41"/>
    </row>
    <row r="144" spans="2:19" x14ac:dyDescent="0.3">
      <c r="B144" s="29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41"/>
    </row>
    <row r="145" spans="2:14" x14ac:dyDescent="0.3">
      <c r="B145" s="29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41"/>
    </row>
    <row r="146" spans="2:14" x14ac:dyDescent="0.3">
      <c r="B146" s="29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41"/>
    </row>
    <row r="147" spans="2:14" x14ac:dyDescent="0.3">
      <c r="B147" s="29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41"/>
    </row>
    <row r="148" spans="2:14" x14ac:dyDescent="0.3">
      <c r="B148" s="29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41"/>
    </row>
    <row r="149" spans="2:14" x14ac:dyDescent="0.3">
      <c r="B149" s="29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41"/>
    </row>
    <row r="150" spans="2:14" x14ac:dyDescent="0.3">
      <c r="B150" s="29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41"/>
    </row>
    <row r="151" spans="2:14" x14ac:dyDescent="0.3">
      <c r="B151" s="29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41"/>
    </row>
    <row r="152" spans="2:14" x14ac:dyDescent="0.3">
      <c r="B152" s="29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41"/>
    </row>
    <row r="153" spans="2:14" x14ac:dyDescent="0.3">
      <c r="B153" s="29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41"/>
    </row>
    <row r="154" spans="2:14" x14ac:dyDescent="0.3">
      <c r="B154" s="29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41"/>
    </row>
    <row r="155" spans="2:14" x14ac:dyDescent="0.3">
      <c r="B155" s="29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41"/>
    </row>
    <row r="156" spans="2:14" x14ac:dyDescent="0.3">
      <c r="B156" s="29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41"/>
    </row>
    <row r="157" spans="2:14" x14ac:dyDescent="0.3">
      <c r="B157" s="29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41"/>
    </row>
    <row r="158" spans="2:14" x14ac:dyDescent="0.3">
      <c r="B158" s="29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41"/>
    </row>
    <row r="159" spans="2:14" x14ac:dyDescent="0.3">
      <c r="B159" s="29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41"/>
    </row>
    <row r="160" spans="2:14" x14ac:dyDescent="0.3">
      <c r="B160" s="29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41"/>
    </row>
    <row r="161" spans="2:14" x14ac:dyDescent="0.3">
      <c r="B161" s="29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41"/>
    </row>
    <row r="162" spans="2:14" x14ac:dyDescent="0.3">
      <c r="B162" s="29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41"/>
    </row>
    <row r="163" spans="2:14" x14ac:dyDescent="0.3">
      <c r="B163" s="29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41"/>
    </row>
    <row r="164" spans="2:14" x14ac:dyDescent="0.3">
      <c r="B164" s="29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41"/>
    </row>
    <row r="165" spans="2:14" x14ac:dyDescent="0.3">
      <c r="B165" s="29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41"/>
    </row>
    <row r="166" spans="2:14" x14ac:dyDescent="0.3">
      <c r="B166" s="29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41"/>
    </row>
    <row r="167" spans="2:14" x14ac:dyDescent="0.3">
      <c r="B167" s="29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41"/>
    </row>
    <row r="168" spans="2:14" x14ac:dyDescent="0.3">
      <c r="B168" s="29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41"/>
    </row>
    <row r="169" spans="2:14" x14ac:dyDescent="0.3">
      <c r="B169" s="29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41"/>
    </row>
    <row r="170" spans="2:14" x14ac:dyDescent="0.3">
      <c r="B170" s="29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41"/>
    </row>
    <row r="171" spans="2:14" ht="15" customHeight="1" x14ac:dyDescent="0.3">
      <c r="B171" s="62" t="s">
        <v>68</v>
      </c>
      <c r="C171" s="60"/>
      <c r="D171" s="64" cm="1">
        <f t="array" ref="D171">_xlfn.XLOOKUP(MIN(IF(NCFA[Poisson acumulado '[%']]&gt;F171,NCFA[Poisson acumulado '[%']])),NCFA[Poisson acumulado '[%']],NCFA[k])</f>
        <v>7</v>
      </c>
      <c r="E171" s="60" t="s">
        <v>67</v>
      </c>
      <c r="F171" s="68">
        <f>E11</f>
        <v>95</v>
      </c>
      <c r="G171" s="60" t="s">
        <v>65</v>
      </c>
      <c r="H171" s="64">
        <f>_xlfn.XLOOKUP(MIN(S97:S136),S97:S136,R97:R136)</f>
        <v>8</v>
      </c>
      <c r="I171" s="60" t="s">
        <v>66</v>
      </c>
      <c r="J171" s="68">
        <f>_xlfn.XLOOKUP(H171,NCFA[k],NCFA[Poisson acumulado '[%']])</f>
        <v>98.776823617810876</v>
      </c>
      <c r="K171" s="60" t="s">
        <v>69</v>
      </c>
      <c r="L171" s="66">
        <f>_xlfn.XLOOKUP(H171,Tabla9[CANTIDAD DE REPUESTOS],Tabla9[COSTO TOTAL DE INVENTARIO])</f>
        <v>4914822.4000000004</v>
      </c>
      <c r="M171" s="60" t="s">
        <v>70</v>
      </c>
      <c r="N171" s="58">
        <f>_xlfn.XLOOKUP(H171,E97:E136,G97:G136)</f>
        <v>918375.95871928206</v>
      </c>
    </row>
    <row r="172" spans="2:14" ht="65.25" customHeight="1" thickBot="1" x14ac:dyDescent="0.35">
      <c r="B172" s="63"/>
      <c r="C172" s="61"/>
      <c r="D172" s="65"/>
      <c r="E172" s="61"/>
      <c r="F172" s="69"/>
      <c r="G172" s="61"/>
      <c r="H172" s="65"/>
      <c r="I172" s="61"/>
      <c r="J172" s="69"/>
      <c r="K172" s="61"/>
      <c r="L172" s="67"/>
      <c r="M172" s="61"/>
      <c r="N172" s="59"/>
    </row>
  </sheetData>
  <mergeCells count="83">
    <mergeCell ref="B137:N137"/>
    <mergeCell ref="B138:G170"/>
    <mergeCell ref="H138:N170"/>
    <mergeCell ref="N171:N172"/>
    <mergeCell ref="K171:K172"/>
    <mergeCell ref="B171:C172"/>
    <mergeCell ref="D171:D172"/>
    <mergeCell ref="M171:M172"/>
    <mergeCell ref="L171:L172"/>
    <mergeCell ref="E171:E172"/>
    <mergeCell ref="J171:J172"/>
    <mergeCell ref="I171:I172"/>
    <mergeCell ref="H171:H172"/>
    <mergeCell ref="G171:G172"/>
    <mergeCell ref="F171:F172"/>
    <mergeCell ref="D4:H4"/>
    <mergeCell ref="B2:C2"/>
    <mergeCell ref="B3:C3"/>
    <mergeCell ref="B4:C4"/>
    <mergeCell ref="J1:N1"/>
    <mergeCell ref="L2:N2"/>
    <mergeCell ref="I4:K4"/>
    <mergeCell ref="L4:N4"/>
    <mergeCell ref="I3:K3"/>
    <mergeCell ref="L3:N3"/>
    <mergeCell ref="B1:I1"/>
    <mergeCell ref="H7:N25"/>
    <mergeCell ref="H26:N51"/>
    <mergeCell ref="B52:N52"/>
    <mergeCell ref="C53:D53"/>
    <mergeCell ref="I2:K2"/>
    <mergeCell ref="B6:N6"/>
    <mergeCell ref="I5:K5"/>
    <mergeCell ref="L5:N5"/>
    <mergeCell ref="B5:C5"/>
    <mergeCell ref="D5:H5"/>
    <mergeCell ref="B8:B9"/>
    <mergeCell ref="D8:D9"/>
    <mergeCell ref="C8:C9"/>
    <mergeCell ref="E8:E9"/>
    <mergeCell ref="D2:H2"/>
    <mergeCell ref="D3:H3"/>
    <mergeCell ref="H54:N94"/>
    <mergeCell ref="B95:N95"/>
    <mergeCell ref="H96:N136"/>
    <mergeCell ref="B96:D96"/>
    <mergeCell ref="B97:D98"/>
    <mergeCell ref="B99:C100"/>
    <mergeCell ref="B101:C102"/>
    <mergeCell ref="D99:D100"/>
    <mergeCell ref="D101:D102"/>
    <mergeCell ref="B103:C104"/>
    <mergeCell ref="D103:D104"/>
    <mergeCell ref="B105:C106"/>
    <mergeCell ref="B107:C108"/>
    <mergeCell ref="B109:C110"/>
    <mergeCell ref="D105:D106"/>
    <mergeCell ref="D107:D108"/>
    <mergeCell ref="D109:D110"/>
    <mergeCell ref="B111:C112"/>
    <mergeCell ref="B113:C114"/>
    <mergeCell ref="D111:D112"/>
    <mergeCell ref="D113:D114"/>
    <mergeCell ref="B115:C116"/>
    <mergeCell ref="D115:D116"/>
    <mergeCell ref="B117:D118"/>
    <mergeCell ref="B119:C120"/>
    <mergeCell ref="B121:C122"/>
    <mergeCell ref="B123:C124"/>
    <mergeCell ref="D119:D120"/>
    <mergeCell ref="D121:D122"/>
    <mergeCell ref="D123:D124"/>
    <mergeCell ref="B127:D128"/>
    <mergeCell ref="B125:C126"/>
    <mergeCell ref="D125:D126"/>
    <mergeCell ref="B129:C130"/>
    <mergeCell ref="B131:C132"/>
    <mergeCell ref="B133:C134"/>
    <mergeCell ref="B135:C136"/>
    <mergeCell ref="D135:D136"/>
    <mergeCell ref="D129:D130"/>
    <mergeCell ref="D131:D132"/>
    <mergeCell ref="D133:D134"/>
  </mergeCell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D6CEE-666A-4C09-A2E5-3209E68DA5CF}">
  <dimension ref="B1:S172"/>
  <sheetViews>
    <sheetView topLeftCell="B134" zoomScale="80" zoomScaleNormal="80" workbookViewId="0">
      <selection activeCell="D133" sqref="D133:D134"/>
    </sheetView>
  </sheetViews>
  <sheetFormatPr baseColWidth="10" defaultRowHeight="14.4" x14ac:dyDescent="0.3"/>
  <cols>
    <col min="1" max="1" width="3.44140625" customWidth="1"/>
    <col min="2" max="4" width="18.6640625" customWidth="1"/>
    <col min="5" max="5" width="18.88671875" customWidth="1"/>
    <col min="6" max="7" width="18.6640625" customWidth="1"/>
    <col min="8" max="8" width="18.88671875" customWidth="1"/>
    <col min="9" max="9" width="15.88671875" customWidth="1"/>
    <col min="10" max="10" width="16.88671875" customWidth="1"/>
    <col min="11" max="11" width="18.6640625" customWidth="1"/>
    <col min="12" max="12" width="21" customWidth="1"/>
    <col min="13" max="13" width="13.88671875" customWidth="1"/>
    <col min="14" max="14" width="20.109375" customWidth="1"/>
    <col min="18" max="18" width="0.88671875" customWidth="1"/>
    <col min="19" max="19" width="1" customWidth="1"/>
  </cols>
  <sheetData>
    <row r="1" spans="2:14" ht="100.5" customHeight="1" x14ac:dyDescent="0.3">
      <c r="B1" s="70" t="s">
        <v>2</v>
      </c>
      <c r="C1" s="71"/>
      <c r="D1" s="71"/>
      <c r="E1" s="72" t="s">
        <v>24</v>
      </c>
      <c r="F1" s="72"/>
      <c r="G1" s="72"/>
      <c r="H1" s="72"/>
      <c r="I1" s="72"/>
      <c r="J1" s="53"/>
      <c r="K1" s="53"/>
      <c r="L1" s="53"/>
      <c r="M1" s="53"/>
      <c r="N1" s="54"/>
    </row>
    <row r="2" spans="2:14" x14ac:dyDescent="0.3">
      <c r="B2" s="31" t="s">
        <v>21</v>
      </c>
      <c r="C2" s="32"/>
      <c r="D2" s="30"/>
      <c r="E2" s="30"/>
      <c r="F2" s="30"/>
      <c r="G2" s="30"/>
      <c r="H2" s="30"/>
      <c r="I2" s="32" t="s">
        <v>23</v>
      </c>
      <c r="J2" s="32"/>
      <c r="K2" s="32"/>
      <c r="L2" s="30"/>
      <c r="M2" s="30"/>
      <c r="N2" s="41"/>
    </row>
    <row r="3" spans="2:14" x14ac:dyDescent="0.3">
      <c r="B3" s="31" t="s">
        <v>0</v>
      </c>
      <c r="C3" s="32"/>
      <c r="D3" s="30"/>
      <c r="E3" s="30"/>
      <c r="F3" s="30"/>
      <c r="G3" s="30"/>
      <c r="H3" s="30"/>
      <c r="I3" s="32" t="s">
        <v>25</v>
      </c>
      <c r="J3" s="32"/>
      <c r="K3" s="32"/>
      <c r="L3" s="30"/>
      <c r="M3" s="30"/>
      <c r="N3" s="41"/>
    </row>
    <row r="4" spans="2:14" x14ac:dyDescent="0.3">
      <c r="B4" s="31" t="s">
        <v>22</v>
      </c>
      <c r="C4" s="32"/>
      <c r="D4" s="30">
        <v>77239</v>
      </c>
      <c r="E4" s="30"/>
      <c r="F4" s="30"/>
      <c r="G4" s="30"/>
      <c r="H4" s="30"/>
      <c r="I4" s="32" t="s">
        <v>26</v>
      </c>
      <c r="J4" s="32"/>
      <c r="K4" s="32"/>
      <c r="L4" s="30"/>
      <c r="M4" s="30"/>
      <c r="N4" s="41"/>
    </row>
    <row r="5" spans="2:14" x14ac:dyDescent="0.3">
      <c r="B5" s="31" t="s">
        <v>1</v>
      </c>
      <c r="C5" s="32"/>
      <c r="D5" s="30" t="s">
        <v>72</v>
      </c>
      <c r="E5" s="30"/>
      <c r="F5" s="30"/>
      <c r="G5" s="30"/>
      <c r="H5" s="30"/>
      <c r="I5" s="32" t="s">
        <v>27</v>
      </c>
      <c r="J5" s="32"/>
      <c r="K5" s="32"/>
      <c r="L5" s="30"/>
      <c r="M5" s="30"/>
      <c r="N5" s="41"/>
    </row>
    <row r="6" spans="2:14" ht="20.25" customHeight="1" x14ac:dyDescent="0.4">
      <c r="B6" s="50" t="s">
        <v>20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2"/>
    </row>
    <row r="7" spans="2:14" ht="71.25" customHeight="1" x14ac:dyDescent="0.3">
      <c r="B7" s="12" t="s">
        <v>15</v>
      </c>
      <c r="C7" s="2">
        <v>12</v>
      </c>
      <c r="D7" s="1" t="s">
        <v>16</v>
      </c>
      <c r="E7" s="2">
        <f>12/1000000</f>
        <v>1.2E-5</v>
      </c>
      <c r="F7" s="1" t="s">
        <v>19</v>
      </c>
      <c r="G7" s="4">
        <f>(C7*24*30)*E7*B11</f>
        <v>1.5552000000000001</v>
      </c>
      <c r="H7" s="30"/>
      <c r="I7" s="30"/>
      <c r="J7" s="30"/>
      <c r="K7" s="30"/>
      <c r="L7" s="30"/>
      <c r="M7" s="30"/>
      <c r="N7" s="41"/>
    </row>
    <row r="8" spans="2:14" ht="15" customHeight="1" x14ac:dyDescent="0.3">
      <c r="B8" s="45" t="s">
        <v>10</v>
      </c>
      <c r="C8" s="46" t="s">
        <v>11</v>
      </c>
      <c r="D8" s="46" t="s">
        <v>12</v>
      </c>
      <c r="E8" s="46" t="s">
        <v>13</v>
      </c>
      <c r="F8" s="1" t="s">
        <v>5</v>
      </c>
      <c r="G8" s="1" t="s">
        <v>6</v>
      </c>
      <c r="H8" s="30"/>
      <c r="I8" s="30"/>
      <c r="J8" s="30"/>
      <c r="K8" s="30"/>
      <c r="L8" s="30"/>
      <c r="M8" s="30"/>
      <c r="N8" s="41"/>
    </row>
    <row r="9" spans="2:14" ht="60" customHeight="1" x14ac:dyDescent="0.3">
      <c r="B9" s="45"/>
      <c r="C9" s="46"/>
      <c r="D9" s="46"/>
      <c r="E9" s="46"/>
      <c r="F9" s="1" t="s">
        <v>3</v>
      </c>
      <c r="G9" s="1" t="s">
        <v>4</v>
      </c>
      <c r="H9" s="30"/>
      <c r="I9" s="30"/>
      <c r="J9" s="30"/>
      <c r="K9" s="30"/>
      <c r="L9" s="30"/>
      <c r="M9" s="30"/>
      <c r="N9" s="41"/>
    </row>
    <row r="10" spans="2:14" ht="30.75" customHeight="1" x14ac:dyDescent="0.3">
      <c r="B10" s="12" t="s">
        <v>7</v>
      </c>
      <c r="C10" s="1" t="s">
        <v>8</v>
      </c>
      <c r="D10" s="1" t="s">
        <v>9</v>
      </c>
      <c r="E10" s="1" t="s">
        <v>14</v>
      </c>
      <c r="F10" s="1" t="s">
        <v>17</v>
      </c>
      <c r="G10" s="1" t="s">
        <v>18</v>
      </c>
      <c r="H10" s="30"/>
      <c r="I10" s="30"/>
      <c r="J10" s="30"/>
      <c r="K10" s="30"/>
      <c r="L10" s="30"/>
      <c r="M10" s="30"/>
      <c r="N10" s="41"/>
    </row>
    <row r="11" spans="2:14" x14ac:dyDescent="0.3">
      <c r="B11" s="13">
        <v>15</v>
      </c>
      <c r="C11" s="6">
        <v>0</v>
      </c>
      <c r="D11" s="5">
        <f>NCFA2[[#This Row],[n ]]-NCFA2[[#This Row],[k]]</f>
        <v>15</v>
      </c>
      <c r="E11" s="6">
        <v>95</v>
      </c>
      <c r="F11" s="5">
        <f>IF(NCFA2[[#This Row],[n-k]]&lt;0,0,((_xlfn.POISSON.DIST(NCFA2[[#This Row],[k]],$G$7,FALSE))*100))</f>
        <v>21.114714898794901</v>
      </c>
      <c r="G11" s="5">
        <f>IF(NCFA2[[#This Row],[n-k]]&lt;0,100,((_xlfn.POISSON.DIST(NCFA2[[#This Row],[k]],$G$7,TRUE))*100))</f>
        <v>21.114714898794901</v>
      </c>
      <c r="H11" s="30"/>
      <c r="I11" s="30"/>
      <c r="J11" s="30"/>
      <c r="K11" s="30"/>
      <c r="L11" s="30"/>
      <c r="M11" s="30"/>
      <c r="N11" s="41"/>
    </row>
    <row r="12" spans="2:14" x14ac:dyDescent="0.3">
      <c r="B12" s="14">
        <f>B11</f>
        <v>15</v>
      </c>
      <c r="C12" s="5">
        <f>C11+1</f>
        <v>1</v>
      </c>
      <c r="D12" s="5">
        <f>NCFA2[[#This Row],[n ]]-NCFA2[[#This Row],[k]]</f>
        <v>14</v>
      </c>
      <c r="E12" s="5">
        <f>IF(NCFA2[[#This Row],[n-k]]&lt;0,$E$11,$E$11)</f>
        <v>95</v>
      </c>
      <c r="F12" s="5">
        <f>IF(NCFA2[[#This Row],[n-k]]&lt;0,0,((_xlfn.POISSON.DIST(NCFA2[[#This Row],[k]],$G$7,FALSE))*100))</f>
        <v>32.837604610605837</v>
      </c>
      <c r="G12" s="5">
        <f>IF(NCFA2[[#This Row],[n-k]]&lt;0,100,((_xlfn.POISSON.DIST(NCFA2[[#This Row],[k]],$G$7,TRUE))*100))</f>
        <v>53.952319509400716</v>
      </c>
      <c r="H12" s="30"/>
      <c r="I12" s="30"/>
      <c r="J12" s="30"/>
      <c r="K12" s="30"/>
      <c r="L12" s="30"/>
      <c r="M12" s="30"/>
      <c r="N12" s="41"/>
    </row>
    <row r="13" spans="2:14" x14ac:dyDescent="0.3">
      <c r="B13" s="14">
        <f t="shared" ref="B13:B51" si="0">B12</f>
        <v>15</v>
      </c>
      <c r="C13" s="5">
        <f t="shared" ref="C13:C51" si="1">C12+1</f>
        <v>2</v>
      </c>
      <c r="D13" s="5">
        <f>NCFA2[[#This Row],[n ]]-NCFA2[[#This Row],[k]]</f>
        <v>13</v>
      </c>
      <c r="E13" s="5">
        <f>IF(NCFA2[[#This Row],[n-k]]&lt;0,$E$11,$E$11)</f>
        <v>95</v>
      </c>
      <c r="F13" s="5">
        <f>IF(NCFA2[[#This Row],[n-k]]&lt;0,0,((_xlfn.POISSON.DIST(NCFA2[[#This Row],[k]],$G$7,FALSE))*100))</f>
        <v>25.534521345207107</v>
      </c>
      <c r="G13" s="5">
        <f>IF(NCFA2[[#This Row],[n-k]]&lt;0,100,((_xlfn.POISSON.DIST(NCFA2[[#This Row],[k]],$G$7,TRUE))*100))</f>
        <v>79.486840854607848</v>
      </c>
      <c r="H13" s="30"/>
      <c r="I13" s="30"/>
      <c r="J13" s="30"/>
      <c r="K13" s="30"/>
      <c r="L13" s="30"/>
      <c r="M13" s="30"/>
      <c r="N13" s="41"/>
    </row>
    <row r="14" spans="2:14" x14ac:dyDescent="0.3">
      <c r="B14" s="14">
        <f t="shared" si="0"/>
        <v>15</v>
      </c>
      <c r="C14" s="5">
        <f t="shared" si="1"/>
        <v>3</v>
      </c>
      <c r="D14" s="5">
        <f>NCFA2[[#This Row],[n ]]-NCFA2[[#This Row],[k]]</f>
        <v>12</v>
      </c>
      <c r="E14" s="5">
        <f>IF(NCFA2[[#This Row],[n-k]]&lt;0,$E$11,$E$11)</f>
        <v>95</v>
      </c>
      <c r="F14" s="5">
        <f>IF(NCFA2[[#This Row],[n-k]]&lt;0,0,((_xlfn.POISSON.DIST(NCFA2[[#This Row],[k]],$G$7,FALSE))*100))</f>
        <v>13.237095865355361</v>
      </c>
      <c r="G14" s="5">
        <f>IF(NCFA2[[#This Row],[n-k]]&lt;0,100,((_xlfn.POISSON.DIST(NCFA2[[#This Row],[k]],$G$7,TRUE))*100))</f>
        <v>92.723936719963191</v>
      </c>
      <c r="H14" s="30"/>
      <c r="I14" s="30"/>
      <c r="J14" s="30"/>
      <c r="K14" s="30"/>
      <c r="L14" s="30"/>
      <c r="M14" s="30"/>
      <c r="N14" s="41"/>
    </row>
    <row r="15" spans="2:14" x14ac:dyDescent="0.3">
      <c r="B15" s="14">
        <f t="shared" si="0"/>
        <v>15</v>
      </c>
      <c r="C15" s="5">
        <f t="shared" si="1"/>
        <v>4</v>
      </c>
      <c r="D15" s="5">
        <f>NCFA2[[#This Row],[n ]]-NCFA2[[#This Row],[k]]</f>
        <v>11</v>
      </c>
      <c r="E15" s="5">
        <f>IF(NCFA2[[#This Row],[n-k]]&lt;0,$E$11,$E$11)</f>
        <v>95</v>
      </c>
      <c r="F15" s="5">
        <f>IF(NCFA2[[#This Row],[n-k]]&lt;0,0,((_xlfn.POISSON.DIST(NCFA2[[#This Row],[k]],$G$7,FALSE))*100))</f>
        <v>5.1465828724501677</v>
      </c>
      <c r="G15" s="5">
        <f>IF(NCFA2[[#This Row],[n-k]]&lt;0,100,((_xlfn.POISSON.DIST(NCFA2[[#This Row],[k]],$G$7,TRUE))*100))</f>
        <v>97.870519592413359</v>
      </c>
      <c r="H15" s="30"/>
      <c r="I15" s="30"/>
      <c r="J15" s="30"/>
      <c r="K15" s="30"/>
      <c r="L15" s="30"/>
      <c r="M15" s="30"/>
      <c r="N15" s="41"/>
    </row>
    <row r="16" spans="2:14" x14ac:dyDescent="0.3">
      <c r="B16" s="14">
        <f t="shared" si="0"/>
        <v>15</v>
      </c>
      <c r="C16" s="5">
        <f t="shared" si="1"/>
        <v>5</v>
      </c>
      <c r="D16" s="5">
        <f>NCFA2[[#This Row],[n ]]-NCFA2[[#This Row],[k]]</f>
        <v>10</v>
      </c>
      <c r="E16" s="5">
        <f>IF(NCFA2[[#This Row],[n-k]]&lt;0,$E$11,$E$11)</f>
        <v>95</v>
      </c>
      <c r="F16" s="5">
        <f>IF(NCFA2[[#This Row],[n-k]]&lt;0,0,((_xlfn.POISSON.DIST(NCFA2[[#This Row],[k]],$G$7,FALSE))*100))</f>
        <v>1.6007931366469001</v>
      </c>
      <c r="G16" s="5">
        <f>IF(NCFA2[[#This Row],[n-k]]&lt;0,100,((_xlfn.POISSON.DIST(NCFA2[[#This Row],[k]],$G$7,TRUE))*100))</f>
        <v>99.471312729060259</v>
      </c>
      <c r="H16" s="30"/>
      <c r="I16" s="30"/>
      <c r="J16" s="30"/>
      <c r="K16" s="30"/>
      <c r="L16" s="30"/>
      <c r="M16" s="30"/>
      <c r="N16" s="41"/>
    </row>
    <row r="17" spans="2:14" x14ac:dyDescent="0.3">
      <c r="B17" s="14">
        <f t="shared" si="0"/>
        <v>15</v>
      </c>
      <c r="C17" s="5">
        <f t="shared" si="1"/>
        <v>6</v>
      </c>
      <c r="D17" s="5">
        <f>NCFA2[[#This Row],[n ]]-NCFA2[[#This Row],[k]]</f>
        <v>9</v>
      </c>
      <c r="E17" s="5">
        <f>IF(NCFA2[[#This Row],[n-k]]&lt;0,$E$11,$E$11)</f>
        <v>95</v>
      </c>
      <c r="F17" s="5">
        <f>IF(NCFA2[[#This Row],[n-k]]&lt;0,0,((_xlfn.POISSON.DIST(NCFA2[[#This Row],[k]],$G$7,FALSE))*100))</f>
        <v>0.41492558101887667</v>
      </c>
      <c r="G17" s="5">
        <f>IF(NCFA2[[#This Row],[n-k]]&lt;0,100,((_xlfn.POISSON.DIST(NCFA2[[#This Row],[k]],$G$7,TRUE))*100))</f>
        <v>99.886238310079136</v>
      </c>
      <c r="H17" s="30"/>
      <c r="I17" s="30"/>
      <c r="J17" s="30"/>
      <c r="K17" s="30"/>
      <c r="L17" s="30"/>
      <c r="M17" s="30"/>
      <c r="N17" s="41"/>
    </row>
    <row r="18" spans="2:14" x14ac:dyDescent="0.3">
      <c r="B18" s="14">
        <f t="shared" si="0"/>
        <v>15</v>
      </c>
      <c r="C18" s="5">
        <f t="shared" si="1"/>
        <v>7</v>
      </c>
      <c r="D18" s="5">
        <f>NCFA2[[#This Row],[n ]]-NCFA2[[#This Row],[k]]</f>
        <v>8</v>
      </c>
      <c r="E18" s="5">
        <f>IF(NCFA2[[#This Row],[n-k]]&lt;0,$E$11,$E$11)</f>
        <v>95</v>
      </c>
      <c r="F18" s="5">
        <f>IF(NCFA2[[#This Row],[n-k]]&lt;0,0,((_xlfn.POISSON.DIST(NCFA2[[#This Row],[k]],$G$7,FALSE))*100))</f>
        <v>9.21846090857939E-2</v>
      </c>
      <c r="G18" s="5">
        <f>IF(NCFA2[[#This Row],[n-k]]&lt;0,100,((_xlfn.POISSON.DIST(NCFA2[[#This Row],[k]],$G$7,TRUE))*100))</f>
        <v>99.978422919164927</v>
      </c>
      <c r="H18" s="30"/>
      <c r="I18" s="30"/>
      <c r="J18" s="30"/>
      <c r="K18" s="30"/>
      <c r="L18" s="30"/>
      <c r="M18" s="30"/>
      <c r="N18" s="41"/>
    </row>
    <row r="19" spans="2:14" x14ac:dyDescent="0.3">
      <c r="B19" s="14">
        <f t="shared" si="0"/>
        <v>15</v>
      </c>
      <c r="C19" s="5">
        <f t="shared" si="1"/>
        <v>8</v>
      </c>
      <c r="D19" s="5">
        <f>NCFA2[[#This Row],[n ]]-NCFA2[[#This Row],[k]]</f>
        <v>7</v>
      </c>
      <c r="E19" s="5">
        <f>IF(NCFA2[[#This Row],[n-k]]&lt;0,$E$11,$E$11)</f>
        <v>95</v>
      </c>
      <c r="F19" s="5">
        <f>IF(NCFA2[[#This Row],[n-k]]&lt;0,0,((_xlfn.POISSON.DIST(NCFA2[[#This Row],[k]],$G$7,FALSE))*100))</f>
        <v>1.7920688006278319E-2</v>
      </c>
      <c r="G19" s="5">
        <f>IF(NCFA2[[#This Row],[n-k]]&lt;0,100,((_xlfn.POISSON.DIST(NCFA2[[#This Row],[k]],$G$7,TRUE))*100))</f>
        <v>99.996343607171198</v>
      </c>
      <c r="H19" s="30"/>
      <c r="I19" s="30"/>
      <c r="J19" s="30"/>
      <c r="K19" s="30"/>
      <c r="L19" s="30"/>
      <c r="M19" s="30"/>
      <c r="N19" s="41"/>
    </row>
    <row r="20" spans="2:14" x14ac:dyDescent="0.3">
      <c r="B20" s="14">
        <f t="shared" si="0"/>
        <v>15</v>
      </c>
      <c r="C20" s="5">
        <f t="shared" si="1"/>
        <v>9</v>
      </c>
      <c r="D20" s="5">
        <f>NCFA2[[#This Row],[n ]]-NCFA2[[#This Row],[k]]</f>
        <v>6</v>
      </c>
      <c r="E20" s="5">
        <f>IF(NCFA2[[#This Row],[n-k]]&lt;0,$E$11,$E$11)</f>
        <v>95</v>
      </c>
      <c r="F20" s="5">
        <f>IF(NCFA2[[#This Row],[n-k]]&lt;0,0,((_xlfn.POISSON.DIST(NCFA2[[#This Row],[k]],$G$7,FALSE))*100))</f>
        <v>3.0966948874848956E-3</v>
      </c>
      <c r="G20" s="5">
        <f>IF(NCFA2[[#This Row],[n-k]]&lt;0,100,((_xlfn.POISSON.DIST(NCFA2[[#This Row],[k]],$G$7,TRUE))*100))</f>
        <v>99.999440302058701</v>
      </c>
      <c r="H20" s="30"/>
      <c r="I20" s="30"/>
      <c r="J20" s="30"/>
      <c r="K20" s="30"/>
      <c r="L20" s="30"/>
      <c r="M20" s="30"/>
      <c r="N20" s="41"/>
    </row>
    <row r="21" spans="2:14" x14ac:dyDescent="0.3">
      <c r="B21" s="14">
        <f t="shared" si="0"/>
        <v>15</v>
      </c>
      <c r="C21" s="5">
        <f t="shared" si="1"/>
        <v>10</v>
      </c>
      <c r="D21" s="5">
        <f>NCFA2[[#This Row],[n ]]-NCFA2[[#This Row],[k]]</f>
        <v>5</v>
      </c>
      <c r="E21" s="5">
        <f>IF(NCFA2[[#This Row],[n-k]]&lt;0,$E$11,$E$11)</f>
        <v>95</v>
      </c>
      <c r="F21" s="5">
        <f>IF(NCFA2[[#This Row],[n-k]]&lt;0,0,((_xlfn.POISSON.DIST(NCFA2[[#This Row],[k]],$G$7,FALSE))*100))</f>
        <v>4.8159798890165203E-4</v>
      </c>
      <c r="G21" s="5">
        <f>IF(NCFA2[[#This Row],[n-k]]&lt;0,100,((_xlfn.POISSON.DIST(NCFA2[[#This Row],[k]],$G$7,TRUE))*100))</f>
        <v>99.999921900047596</v>
      </c>
      <c r="H21" s="30"/>
      <c r="I21" s="30"/>
      <c r="J21" s="30"/>
      <c r="K21" s="30"/>
      <c r="L21" s="30"/>
      <c r="M21" s="30"/>
      <c r="N21" s="41"/>
    </row>
    <row r="22" spans="2:14" x14ac:dyDescent="0.3">
      <c r="B22" s="14">
        <f t="shared" si="0"/>
        <v>15</v>
      </c>
      <c r="C22" s="5">
        <f t="shared" si="1"/>
        <v>11</v>
      </c>
      <c r="D22" s="5">
        <f>NCFA2[[#This Row],[n ]]-NCFA2[[#This Row],[k]]</f>
        <v>4</v>
      </c>
      <c r="E22" s="5">
        <f>IF(NCFA2[[#This Row],[n-k]]&lt;0,$E$11,$E$11)</f>
        <v>95</v>
      </c>
      <c r="F22" s="5">
        <f>IF(NCFA2[[#This Row],[n-k]]&lt;0,0,((_xlfn.POISSON.DIST(NCFA2[[#This Row],[k]],$G$7,FALSE))*100))</f>
        <v>6.808919930362233E-5</v>
      </c>
      <c r="G22" s="5">
        <f>IF(NCFA2[[#This Row],[n-k]]&lt;0,100,((_xlfn.POISSON.DIST(NCFA2[[#This Row],[k]],$G$7,TRUE))*100))</f>
        <v>99.999989989246899</v>
      </c>
      <c r="H22" s="30"/>
      <c r="I22" s="30"/>
      <c r="J22" s="30"/>
      <c r="K22" s="30"/>
      <c r="L22" s="30"/>
      <c r="M22" s="30"/>
      <c r="N22" s="41"/>
    </row>
    <row r="23" spans="2:14" x14ac:dyDescent="0.3">
      <c r="B23" s="14">
        <f t="shared" si="0"/>
        <v>15</v>
      </c>
      <c r="C23" s="5">
        <f t="shared" si="1"/>
        <v>12</v>
      </c>
      <c r="D23" s="5">
        <f>NCFA2[[#This Row],[n ]]-NCFA2[[#This Row],[k]]</f>
        <v>3</v>
      </c>
      <c r="E23" s="5">
        <f>IF(NCFA2[[#This Row],[n-k]]&lt;0,$E$11,$E$11)</f>
        <v>95</v>
      </c>
      <c r="F23" s="5">
        <f>IF(NCFA2[[#This Row],[n-k]]&lt;0,0,((_xlfn.POISSON.DIST(NCFA2[[#This Row],[k]],$G$7,FALSE))*100))</f>
        <v>8.8243602297494592E-6</v>
      </c>
      <c r="G23" s="5">
        <f>IF(NCFA2[[#This Row],[n-k]]&lt;0,100,((_xlfn.POISSON.DIST(NCFA2[[#This Row],[k]],$G$7,TRUE))*100))</f>
        <v>99.999998813607121</v>
      </c>
      <c r="H23" s="30"/>
      <c r="I23" s="30"/>
      <c r="J23" s="30"/>
      <c r="K23" s="30"/>
      <c r="L23" s="30"/>
      <c r="M23" s="30"/>
      <c r="N23" s="41"/>
    </row>
    <row r="24" spans="2:14" x14ac:dyDescent="0.3">
      <c r="B24" s="14">
        <f t="shared" si="0"/>
        <v>15</v>
      </c>
      <c r="C24" s="5">
        <f t="shared" si="1"/>
        <v>13</v>
      </c>
      <c r="D24" s="5">
        <f>NCFA2[[#This Row],[n ]]-NCFA2[[#This Row],[k]]</f>
        <v>2</v>
      </c>
      <c r="E24" s="5">
        <f>IF(NCFA2[[#This Row],[n-k]]&lt;0,$E$11,$E$11)</f>
        <v>95</v>
      </c>
      <c r="F24" s="5">
        <f>IF(NCFA2[[#This Row],[n-k]]&lt;0,0,((_xlfn.POISSON.DIST(NCFA2[[#This Row],[k]],$G$7,FALSE))*100))</f>
        <v>1.0556650022543426E-6</v>
      </c>
      <c r="G24" s="5">
        <f>IF(NCFA2[[#This Row],[n-k]]&lt;0,100,((_xlfn.POISSON.DIST(NCFA2[[#This Row],[k]],$G$7,TRUE))*100))</f>
        <v>99.999999869272131</v>
      </c>
      <c r="H24" s="30"/>
      <c r="I24" s="30"/>
      <c r="J24" s="30"/>
      <c r="K24" s="30"/>
      <c r="L24" s="30"/>
      <c r="M24" s="30"/>
      <c r="N24" s="41"/>
    </row>
    <row r="25" spans="2:14" x14ac:dyDescent="0.3">
      <c r="B25" s="14">
        <f t="shared" si="0"/>
        <v>15</v>
      </c>
      <c r="C25" s="5">
        <f t="shared" si="1"/>
        <v>14</v>
      </c>
      <c r="D25" s="5">
        <f>NCFA2[[#This Row],[n ]]-NCFA2[[#This Row],[k]]</f>
        <v>1</v>
      </c>
      <c r="E25" s="5">
        <f>IF(NCFA2[[#This Row],[n-k]]&lt;0,$E$11,$E$11)</f>
        <v>95</v>
      </c>
      <c r="F25" s="5">
        <f>IF(NCFA2[[#This Row],[n-k]]&lt;0,0,((_xlfn.POISSON.DIST(NCFA2[[#This Row],[k]],$G$7,FALSE))*100))</f>
        <v>1.1726930082185346E-7</v>
      </c>
      <c r="G25" s="5">
        <f>IF(NCFA2[[#This Row],[n-k]]&lt;0,100,((_xlfn.POISSON.DIST(NCFA2[[#This Row],[k]],$G$7,TRUE))*100))</f>
        <v>99.99999998654144</v>
      </c>
      <c r="H25" s="30"/>
      <c r="I25" s="30"/>
      <c r="J25" s="30"/>
      <c r="K25" s="30"/>
      <c r="L25" s="30"/>
      <c r="M25" s="30"/>
      <c r="N25" s="41"/>
    </row>
    <row r="26" spans="2:14" x14ac:dyDescent="0.3">
      <c r="B26" s="14">
        <f t="shared" si="0"/>
        <v>15</v>
      </c>
      <c r="C26" s="5">
        <f t="shared" si="1"/>
        <v>15</v>
      </c>
      <c r="D26" s="5">
        <f>NCFA2[[#This Row],[n ]]-NCFA2[[#This Row],[k]]</f>
        <v>0</v>
      </c>
      <c r="E26" s="5">
        <f>IF(NCFA2[[#This Row],[n-k]]&lt;0,$E$11,$E$11)</f>
        <v>95</v>
      </c>
      <c r="F26" s="5">
        <f>IF(NCFA2[[#This Row],[n-k]]&lt;0,0,((_xlfn.POISSON.DIST(NCFA2[[#This Row],[k]],$G$7,FALSE))*100))</f>
        <v>1.2158481109209682E-8</v>
      </c>
      <c r="G26" s="5">
        <f>IF(NCFA2[[#This Row],[n-k]]&lt;0,100,((_xlfn.POISSON.DIST(NCFA2[[#This Row],[k]],$G$7,TRUE))*100))</f>
        <v>99.999999998699906</v>
      </c>
      <c r="H26" s="30"/>
      <c r="I26" s="30"/>
      <c r="J26" s="30"/>
      <c r="K26" s="30"/>
      <c r="L26" s="30"/>
      <c r="M26" s="30"/>
      <c r="N26" s="41"/>
    </row>
    <row r="27" spans="2:14" x14ac:dyDescent="0.3">
      <c r="B27" s="14">
        <f t="shared" si="0"/>
        <v>15</v>
      </c>
      <c r="C27" s="5">
        <f t="shared" si="1"/>
        <v>16</v>
      </c>
      <c r="D27" s="5">
        <f>NCFA2[[#This Row],[n ]]-NCFA2[[#This Row],[k]]</f>
        <v>-1</v>
      </c>
      <c r="E27" s="5">
        <f>IF(NCFA2[[#This Row],[n-k]]&lt;0,$E$11,$E$11)</f>
        <v>95</v>
      </c>
      <c r="F27" s="5">
        <f>IF(NCFA2[[#This Row],[n-k]]&lt;0,0,((_xlfn.POISSON.DIST(NCFA2[[#This Row],[k]],$G$7,FALSE))*100))</f>
        <v>0</v>
      </c>
      <c r="G27" s="5">
        <f>IF(NCFA2[[#This Row],[n-k]]&lt;0,100,((_xlfn.POISSON.DIST(NCFA2[[#This Row],[k]],$G$7,TRUE))*100))</f>
        <v>100</v>
      </c>
      <c r="H27" s="30"/>
      <c r="I27" s="30"/>
      <c r="J27" s="30"/>
      <c r="K27" s="30"/>
      <c r="L27" s="30"/>
      <c r="M27" s="30"/>
      <c r="N27" s="41"/>
    </row>
    <row r="28" spans="2:14" x14ac:dyDescent="0.3">
      <c r="B28" s="14">
        <f t="shared" si="0"/>
        <v>15</v>
      </c>
      <c r="C28" s="5">
        <f t="shared" si="1"/>
        <v>17</v>
      </c>
      <c r="D28" s="5">
        <f>NCFA2[[#This Row],[n ]]-NCFA2[[#This Row],[k]]</f>
        <v>-2</v>
      </c>
      <c r="E28" s="5">
        <f>IF(NCFA2[[#This Row],[n-k]]&lt;0,$E$11,$E$11)</f>
        <v>95</v>
      </c>
      <c r="F28" s="5">
        <f>IF(NCFA2[[#This Row],[n-k]]&lt;0,0,((_xlfn.POISSON.DIST(NCFA2[[#This Row],[k]],$G$7,FALSE))*100))</f>
        <v>0</v>
      </c>
      <c r="G28" s="5">
        <f>IF(NCFA2[[#This Row],[n-k]]&lt;0,100,((_xlfn.POISSON.DIST(NCFA2[[#This Row],[k]],$G$7,TRUE))*100))</f>
        <v>100</v>
      </c>
      <c r="H28" s="30"/>
      <c r="I28" s="30"/>
      <c r="J28" s="30"/>
      <c r="K28" s="30"/>
      <c r="L28" s="30"/>
      <c r="M28" s="30"/>
      <c r="N28" s="41"/>
    </row>
    <row r="29" spans="2:14" x14ac:dyDescent="0.3">
      <c r="B29" s="14">
        <f t="shared" si="0"/>
        <v>15</v>
      </c>
      <c r="C29" s="5">
        <f t="shared" si="1"/>
        <v>18</v>
      </c>
      <c r="D29" s="5">
        <f>NCFA2[[#This Row],[n ]]-NCFA2[[#This Row],[k]]</f>
        <v>-3</v>
      </c>
      <c r="E29" s="5">
        <f>IF(NCFA2[[#This Row],[n-k]]&lt;0,$E$11,$E$11)</f>
        <v>95</v>
      </c>
      <c r="F29" s="5">
        <f>IF(NCFA2[[#This Row],[n-k]]&lt;0,0,((_xlfn.POISSON.DIST(NCFA2[[#This Row],[k]],$G$7,FALSE))*100))</f>
        <v>0</v>
      </c>
      <c r="G29" s="5">
        <f>IF(NCFA2[[#This Row],[n-k]]&lt;0,100,((_xlfn.POISSON.DIST(NCFA2[[#This Row],[k]],$G$7,TRUE))*100))</f>
        <v>100</v>
      </c>
      <c r="H29" s="30"/>
      <c r="I29" s="30"/>
      <c r="J29" s="30"/>
      <c r="K29" s="30"/>
      <c r="L29" s="30"/>
      <c r="M29" s="30"/>
      <c r="N29" s="41"/>
    </row>
    <row r="30" spans="2:14" x14ac:dyDescent="0.3">
      <c r="B30" s="14">
        <f t="shared" si="0"/>
        <v>15</v>
      </c>
      <c r="C30" s="5">
        <f t="shared" si="1"/>
        <v>19</v>
      </c>
      <c r="D30" s="5">
        <f>NCFA2[[#This Row],[n ]]-NCFA2[[#This Row],[k]]</f>
        <v>-4</v>
      </c>
      <c r="E30" s="5">
        <f>IF(NCFA2[[#This Row],[n-k]]&lt;0,$E$11,$E$11)</f>
        <v>95</v>
      </c>
      <c r="F30" s="5">
        <f>IF(NCFA2[[#This Row],[n-k]]&lt;0,0,((_xlfn.POISSON.DIST(NCFA2[[#This Row],[k]],$G$7,FALSE))*100))</f>
        <v>0</v>
      </c>
      <c r="G30" s="5">
        <f>IF(NCFA2[[#This Row],[n-k]]&lt;0,100,((_xlfn.POISSON.DIST(NCFA2[[#This Row],[k]],$G$7,TRUE))*100))</f>
        <v>100</v>
      </c>
      <c r="H30" s="30"/>
      <c r="I30" s="30"/>
      <c r="J30" s="30"/>
      <c r="K30" s="30"/>
      <c r="L30" s="30"/>
      <c r="M30" s="30"/>
      <c r="N30" s="41"/>
    </row>
    <row r="31" spans="2:14" x14ac:dyDescent="0.3">
      <c r="B31" s="14">
        <f t="shared" si="0"/>
        <v>15</v>
      </c>
      <c r="C31" s="5">
        <f t="shared" si="1"/>
        <v>20</v>
      </c>
      <c r="D31" s="5">
        <f>NCFA2[[#This Row],[n ]]-NCFA2[[#This Row],[k]]</f>
        <v>-5</v>
      </c>
      <c r="E31" s="5">
        <f>IF(NCFA2[[#This Row],[n-k]]&lt;0,$E$11,$E$11)</f>
        <v>95</v>
      </c>
      <c r="F31" s="5">
        <f>IF(NCFA2[[#This Row],[n-k]]&lt;0,0,((_xlfn.POISSON.DIST(NCFA2[[#This Row],[k]],$G$7,FALSE))*100))</f>
        <v>0</v>
      </c>
      <c r="G31" s="5">
        <f>IF(NCFA2[[#This Row],[n-k]]&lt;0,100,((_xlfn.POISSON.DIST(NCFA2[[#This Row],[k]],$G$7,TRUE))*100))</f>
        <v>100</v>
      </c>
      <c r="H31" s="30"/>
      <c r="I31" s="30"/>
      <c r="J31" s="30"/>
      <c r="K31" s="30"/>
      <c r="L31" s="30"/>
      <c r="M31" s="30"/>
      <c r="N31" s="41"/>
    </row>
    <row r="32" spans="2:14" x14ac:dyDescent="0.3">
      <c r="B32" s="14">
        <f t="shared" si="0"/>
        <v>15</v>
      </c>
      <c r="C32" s="7">
        <f t="shared" si="1"/>
        <v>21</v>
      </c>
      <c r="D32" s="7">
        <f>NCFA2[[#This Row],[n ]]-NCFA2[[#This Row],[k]]</f>
        <v>-6</v>
      </c>
      <c r="E32" s="5">
        <f>IF(NCFA2[[#This Row],[n-k]]&lt;0,$E$11,$E$11)</f>
        <v>95</v>
      </c>
      <c r="F32" s="5">
        <f>IF(NCFA2[[#This Row],[n-k]]&lt;0,0,((_xlfn.POISSON.DIST(NCFA2[[#This Row],[k]],$G$7,FALSE))*100))</f>
        <v>0</v>
      </c>
      <c r="G32" s="5">
        <f>IF(NCFA2[[#This Row],[n-k]]&lt;0,100,((_xlfn.POISSON.DIST(NCFA2[[#This Row],[k]],$G$7,TRUE))*100))</f>
        <v>100</v>
      </c>
      <c r="H32" s="30"/>
      <c r="I32" s="30"/>
      <c r="J32" s="30"/>
      <c r="K32" s="30"/>
      <c r="L32" s="30"/>
      <c r="M32" s="30"/>
      <c r="N32" s="41"/>
    </row>
    <row r="33" spans="2:14" x14ac:dyDescent="0.3">
      <c r="B33" s="14">
        <f t="shared" si="0"/>
        <v>15</v>
      </c>
      <c r="C33" s="7">
        <f t="shared" si="1"/>
        <v>22</v>
      </c>
      <c r="D33" s="7">
        <f>NCFA2[[#This Row],[n ]]-NCFA2[[#This Row],[k]]</f>
        <v>-7</v>
      </c>
      <c r="E33" s="5">
        <f>IF(NCFA2[[#This Row],[n-k]]&lt;0,$E$11,$E$11)</f>
        <v>95</v>
      </c>
      <c r="F33" s="5">
        <f>IF(NCFA2[[#This Row],[n-k]]&lt;0,0,((_xlfn.POISSON.DIST(NCFA2[[#This Row],[k]],$G$7,FALSE))*100))</f>
        <v>0</v>
      </c>
      <c r="G33" s="5">
        <f>IF(NCFA2[[#This Row],[n-k]]&lt;0,100,((_xlfn.POISSON.DIST(NCFA2[[#This Row],[k]],$G$7,TRUE))*100))</f>
        <v>100</v>
      </c>
      <c r="H33" s="30"/>
      <c r="I33" s="30"/>
      <c r="J33" s="30"/>
      <c r="K33" s="30"/>
      <c r="L33" s="30"/>
      <c r="M33" s="30"/>
      <c r="N33" s="41"/>
    </row>
    <row r="34" spans="2:14" x14ac:dyDescent="0.3">
      <c r="B34" s="14">
        <f t="shared" si="0"/>
        <v>15</v>
      </c>
      <c r="C34" s="7">
        <f t="shared" si="1"/>
        <v>23</v>
      </c>
      <c r="D34" s="7">
        <f>NCFA2[[#This Row],[n ]]-NCFA2[[#This Row],[k]]</f>
        <v>-8</v>
      </c>
      <c r="E34" s="5">
        <f>IF(NCFA2[[#This Row],[n-k]]&lt;0,$E$11,$E$11)</f>
        <v>95</v>
      </c>
      <c r="F34" s="5">
        <f>IF(NCFA2[[#This Row],[n-k]]&lt;0,0,((_xlfn.POISSON.DIST(NCFA2[[#This Row],[k]],$G$7,FALSE))*100))</f>
        <v>0</v>
      </c>
      <c r="G34" s="5">
        <f>IF(NCFA2[[#This Row],[n-k]]&lt;0,100,((_xlfn.POISSON.DIST(NCFA2[[#This Row],[k]],$G$7,TRUE))*100))</f>
        <v>100</v>
      </c>
      <c r="H34" s="30"/>
      <c r="I34" s="30"/>
      <c r="J34" s="30"/>
      <c r="K34" s="30"/>
      <c r="L34" s="30"/>
      <c r="M34" s="30"/>
      <c r="N34" s="41"/>
    </row>
    <row r="35" spans="2:14" x14ac:dyDescent="0.3">
      <c r="B35" s="14">
        <f t="shared" si="0"/>
        <v>15</v>
      </c>
      <c r="C35" s="7">
        <f t="shared" si="1"/>
        <v>24</v>
      </c>
      <c r="D35" s="7">
        <f>NCFA2[[#This Row],[n ]]-NCFA2[[#This Row],[k]]</f>
        <v>-9</v>
      </c>
      <c r="E35" s="5">
        <f>IF(NCFA2[[#This Row],[n-k]]&lt;0,$E$11,$E$11)</f>
        <v>95</v>
      </c>
      <c r="F35" s="5">
        <f>IF(NCFA2[[#This Row],[n-k]]&lt;0,0,((_xlfn.POISSON.DIST(NCFA2[[#This Row],[k]],$G$7,FALSE))*100))</f>
        <v>0</v>
      </c>
      <c r="G35" s="5">
        <f>IF(NCFA2[[#This Row],[n-k]]&lt;0,100,((_xlfn.POISSON.DIST(NCFA2[[#This Row],[k]],$G$7,TRUE))*100))</f>
        <v>100</v>
      </c>
      <c r="H35" s="30"/>
      <c r="I35" s="30"/>
      <c r="J35" s="30"/>
      <c r="K35" s="30"/>
      <c r="L35" s="30"/>
      <c r="M35" s="30"/>
      <c r="N35" s="41"/>
    </row>
    <row r="36" spans="2:14" x14ac:dyDescent="0.3">
      <c r="B36" s="14">
        <f t="shared" si="0"/>
        <v>15</v>
      </c>
      <c r="C36" s="7">
        <f t="shared" si="1"/>
        <v>25</v>
      </c>
      <c r="D36" s="7">
        <f>NCFA2[[#This Row],[n ]]-NCFA2[[#This Row],[k]]</f>
        <v>-10</v>
      </c>
      <c r="E36" s="5">
        <f>IF(NCFA2[[#This Row],[n-k]]&lt;0,$E$11,$E$11)</f>
        <v>95</v>
      </c>
      <c r="F36" s="5">
        <f>IF(NCFA2[[#This Row],[n-k]]&lt;0,0,((_xlfn.POISSON.DIST(NCFA2[[#This Row],[k]],$G$7,FALSE))*100))</f>
        <v>0</v>
      </c>
      <c r="G36" s="5">
        <f>IF(NCFA2[[#This Row],[n-k]]&lt;0,100,((_xlfn.POISSON.DIST(NCFA2[[#This Row],[k]],$G$7,TRUE))*100))</f>
        <v>100</v>
      </c>
      <c r="H36" s="30"/>
      <c r="I36" s="30"/>
      <c r="J36" s="30"/>
      <c r="K36" s="30"/>
      <c r="L36" s="30"/>
      <c r="M36" s="30"/>
      <c r="N36" s="41"/>
    </row>
    <row r="37" spans="2:14" x14ac:dyDescent="0.3">
      <c r="B37" s="14">
        <f t="shared" si="0"/>
        <v>15</v>
      </c>
      <c r="C37" s="7">
        <f t="shared" si="1"/>
        <v>26</v>
      </c>
      <c r="D37" s="7">
        <f>NCFA2[[#This Row],[n ]]-NCFA2[[#This Row],[k]]</f>
        <v>-11</v>
      </c>
      <c r="E37" s="5">
        <f>IF(NCFA2[[#This Row],[n-k]]&lt;0,$E$11,$E$11)</f>
        <v>95</v>
      </c>
      <c r="F37" s="5">
        <f>IF(NCFA2[[#This Row],[n-k]]&lt;0,0,((_xlfn.POISSON.DIST(NCFA2[[#This Row],[k]],$G$7,FALSE))*100))</f>
        <v>0</v>
      </c>
      <c r="G37" s="5">
        <f>IF(NCFA2[[#This Row],[n-k]]&lt;0,100,((_xlfn.POISSON.DIST(NCFA2[[#This Row],[k]],$G$7,TRUE))*100))</f>
        <v>100</v>
      </c>
      <c r="H37" s="30"/>
      <c r="I37" s="30"/>
      <c r="J37" s="30"/>
      <c r="K37" s="30"/>
      <c r="L37" s="30"/>
      <c r="M37" s="30"/>
      <c r="N37" s="41"/>
    </row>
    <row r="38" spans="2:14" x14ac:dyDescent="0.3">
      <c r="B38" s="14">
        <f t="shared" si="0"/>
        <v>15</v>
      </c>
      <c r="C38" s="7">
        <f t="shared" si="1"/>
        <v>27</v>
      </c>
      <c r="D38" s="7">
        <f>NCFA2[[#This Row],[n ]]-NCFA2[[#This Row],[k]]</f>
        <v>-12</v>
      </c>
      <c r="E38" s="5">
        <f>IF(NCFA2[[#This Row],[n-k]]&lt;0,$E$11,$E$11)</f>
        <v>95</v>
      </c>
      <c r="F38" s="5">
        <f>IF(NCFA2[[#This Row],[n-k]]&lt;0,0,((_xlfn.POISSON.DIST(NCFA2[[#This Row],[k]],$G$7,FALSE))*100))</f>
        <v>0</v>
      </c>
      <c r="G38" s="5">
        <f>IF(NCFA2[[#This Row],[n-k]]&lt;0,100,((_xlfn.POISSON.DIST(NCFA2[[#This Row],[k]],$G$7,TRUE))*100))</f>
        <v>100</v>
      </c>
      <c r="H38" s="30"/>
      <c r="I38" s="30"/>
      <c r="J38" s="30"/>
      <c r="K38" s="30"/>
      <c r="L38" s="30"/>
      <c r="M38" s="30"/>
      <c r="N38" s="41"/>
    </row>
    <row r="39" spans="2:14" x14ac:dyDescent="0.3">
      <c r="B39" s="14">
        <f t="shared" si="0"/>
        <v>15</v>
      </c>
      <c r="C39" s="7">
        <f t="shared" si="1"/>
        <v>28</v>
      </c>
      <c r="D39" s="7">
        <f>NCFA2[[#This Row],[n ]]-NCFA2[[#This Row],[k]]</f>
        <v>-13</v>
      </c>
      <c r="E39" s="5">
        <f>IF(NCFA2[[#This Row],[n-k]]&lt;0,$E$11,$E$11)</f>
        <v>95</v>
      </c>
      <c r="F39" s="5">
        <f>IF(NCFA2[[#This Row],[n-k]]&lt;0,0,((_xlfn.POISSON.DIST(NCFA2[[#This Row],[k]],$G$7,FALSE))*100))</f>
        <v>0</v>
      </c>
      <c r="G39" s="5">
        <f>IF(NCFA2[[#This Row],[n-k]]&lt;0,100,((_xlfn.POISSON.DIST(NCFA2[[#This Row],[k]],$G$7,TRUE))*100))</f>
        <v>100</v>
      </c>
      <c r="H39" s="30"/>
      <c r="I39" s="30"/>
      <c r="J39" s="30"/>
      <c r="K39" s="30"/>
      <c r="L39" s="30"/>
      <c r="M39" s="30"/>
      <c r="N39" s="41"/>
    </row>
    <row r="40" spans="2:14" x14ac:dyDescent="0.3">
      <c r="B40" s="14">
        <f t="shared" si="0"/>
        <v>15</v>
      </c>
      <c r="C40" s="7">
        <f t="shared" si="1"/>
        <v>29</v>
      </c>
      <c r="D40" s="7">
        <f>NCFA2[[#This Row],[n ]]-NCFA2[[#This Row],[k]]</f>
        <v>-14</v>
      </c>
      <c r="E40" s="5">
        <f>IF(NCFA2[[#This Row],[n-k]]&lt;0,$E$11,$E$11)</f>
        <v>95</v>
      </c>
      <c r="F40" s="5">
        <f>IF(NCFA2[[#This Row],[n-k]]&lt;0,0,((_xlfn.POISSON.DIST(NCFA2[[#This Row],[k]],$G$7,FALSE))*100))</f>
        <v>0</v>
      </c>
      <c r="G40" s="5">
        <f>IF(NCFA2[[#This Row],[n-k]]&lt;0,100,((_xlfn.POISSON.DIST(NCFA2[[#This Row],[k]],$G$7,TRUE))*100))</f>
        <v>100</v>
      </c>
      <c r="H40" s="30"/>
      <c r="I40" s="30"/>
      <c r="J40" s="30"/>
      <c r="K40" s="30"/>
      <c r="L40" s="30"/>
      <c r="M40" s="30"/>
      <c r="N40" s="41"/>
    </row>
    <row r="41" spans="2:14" x14ac:dyDescent="0.3">
      <c r="B41" s="14">
        <f t="shared" si="0"/>
        <v>15</v>
      </c>
      <c r="C41" s="7">
        <f t="shared" si="1"/>
        <v>30</v>
      </c>
      <c r="D41" s="7">
        <f>NCFA2[[#This Row],[n ]]-NCFA2[[#This Row],[k]]</f>
        <v>-15</v>
      </c>
      <c r="E41" s="5">
        <f>IF(NCFA2[[#This Row],[n-k]]&lt;0,$E$11,$E$11)</f>
        <v>95</v>
      </c>
      <c r="F41" s="5">
        <f>IF(NCFA2[[#This Row],[n-k]]&lt;0,0,((_xlfn.POISSON.DIST(NCFA2[[#This Row],[k]],$G$7,FALSE))*100))</f>
        <v>0</v>
      </c>
      <c r="G41" s="5">
        <f>IF(NCFA2[[#This Row],[n-k]]&lt;0,100,((_xlfn.POISSON.DIST(NCFA2[[#This Row],[k]],$G$7,TRUE))*100))</f>
        <v>100</v>
      </c>
      <c r="H41" s="30"/>
      <c r="I41" s="30"/>
      <c r="J41" s="30"/>
      <c r="K41" s="30"/>
      <c r="L41" s="30"/>
      <c r="M41" s="30"/>
      <c r="N41" s="41"/>
    </row>
    <row r="42" spans="2:14" x14ac:dyDescent="0.3">
      <c r="B42" s="14">
        <f t="shared" si="0"/>
        <v>15</v>
      </c>
      <c r="C42" s="5">
        <f t="shared" si="1"/>
        <v>31</v>
      </c>
      <c r="D42" s="5">
        <f>NCFA2[[#This Row],[n ]]-NCFA2[[#This Row],[k]]</f>
        <v>-16</v>
      </c>
      <c r="E42" s="5">
        <f>IF(NCFA2[[#This Row],[n-k]]&lt;0,$E$11,$E$11)</f>
        <v>95</v>
      </c>
      <c r="F42" s="5">
        <f>IF(NCFA2[[#This Row],[n-k]]&lt;0,0,((_xlfn.POISSON.DIST(NCFA2[[#This Row],[k]],$G$7,FALSE))*100))</f>
        <v>0</v>
      </c>
      <c r="G42" s="5">
        <f>IF(NCFA2[[#This Row],[n-k]]&lt;0,100,((_xlfn.POISSON.DIST(NCFA2[[#This Row],[k]],$G$7,TRUE))*100))</f>
        <v>100</v>
      </c>
      <c r="H42" s="30"/>
      <c r="I42" s="30"/>
      <c r="J42" s="30"/>
      <c r="K42" s="30"/>
      <c r="L42" s="30"/>
      <c r="M42" s="30"/>
      <c r="N42" s="41"/>
    </row>
    <row r="43" spans="2:14" x14ac:dyDescent="0.3">
      <c r="B43" s="14">
        <f t="shared" si="0"/>
        <v>15</v>
      </c>
      <c r="C43" s="7">
        <f t="shared" si="1"/>
        <v>32</v>
      </c>
      <c r="D43" s="7">
        <f>NCFA2[[#This Row],[n ]]-NCFA2[[#This Row],[k]]</f>
        <v>-17</v>
      </c>
      <c r="E43" s="5">
        <f>IF(NCFA2[[#This Row],[n-k]]&lt;0,$E$11,$E$11)</f>
        <v>95</v>
      </c>
      <c r="F43" s="5">
        <f>IF(NCFA2[[#This Row],[n-k]]&lt;0,0,((_xlfn.POISSON.DIST(NCFA2[[#This Row],[k]],$G$7,FALSE))*100))</f>
        <v>0</v>
      </c>
      <c r="G43" s="5">
        <f>IF(NCFA2[[#This Row],[n-k]]&lt;0,100,((_xlfn.POISSON.DIST(NCFA2[[#This Row],[k]],$G$7,TRUE))*100))</f>
        <v>100</v>
      </c>
      <c r="H43" s="30"/>
      <c r="I43" s="30"/>
      <c r="J43" s="30"/>
      <c r="K43" s="30"/>
      <c r="L43" s="30"/>
      <c r="M43" s="30"/>
      <c r="N43" s="41"/>
    </row>
    <row r="44" spans="2:14" x14ac:dyDescent="0.3">
      <c r="B44" s="14">
        <f t="shared" si="0"/>
        <v>15</v>
      </c>
      <c r="C44" s="7">
        <f t="shared" si="1"/>
        <v>33</v>
      </c>
      <c r="D44" s="7">
        <f>NCFA2[[#This Row],[n ]]-NCFA2[[#This Row],[k]]</f>
        <v>-18</v>
      </c>
      <c r="E44" s="5">
        <f>IF(NCFA2[[#This Row],[n-k]]&lt;0,$E$11,$E$11)</f>
        <v>95</v>
      </c>
      <c r="F44" s="5">
        <f>IF(NCFA2[[#This Row],[n-k]]&lt;0,0,((_xlfn.POISSON.DIST(NCFA2[[#This Row],[k]],$G$7,FALSE))*100))</f>
        <v>0</v>
      </c>
      <c r="G44" s="5">
        <f>IF(NCFA2[[#This Row],[n-k]]&lt;0,100,((_xlfn.POISSON.DIST(NCFA2[[#This Row],[k]],$G$7,TRUE))*100))</f>
        <v>100</v>
      </c>
      <c r="H44" s="30"/>
      <c r="I44" s="30"/>
      <c r="J44" s="30"/>
      <c r="K44" s="30"/>
      <c r="L44" s="30"/>
      <c r="M44" s="30"/>
      <c r="N44" s="41"/>
    </row>
    <row r="45" spans="2:14" x14ac:dyDescent="0.3">
      <c r="B45" s="14">
        <f t="shared" si="0"/>
        <v>15</v>
      </c>
      <c r="C45" s="7">
        <f t="shared" si="1"/>
        <v>34</v>
      </c>
      <c r="D45" s="7">
        <f>NCFA2[[#This Row],[n ]]-NCFA2[[#This Row],[k]]</f>
        <v>-19</v>
      </c>
      <c r="E45" s="5">
        <f>IF(NCFA2[[#This Row],[n-k]]&lt;0,$E$11,$E$11)</f>
        <v>95</v>
      </c>
      <c r="F45" s="5">
        <f>IF(NCFA2[[#This Row],[n-k]]&lt;0,0,((_xlfn.POISSON.DIST(NCFA2[[#This Row],[k]],$G$7,FALSE))*100))</f>
        <v>0</v>
      </c>
      <c r="G45" s="5">
        <f>IF(NCFA2[[#This Row],[n-k]]&lt;0,100,((_xlfn.POISSON.DIST(NCFA2[[#This Row],[k]],$G$7,TRUE))*100))</f>
        <v>100</v>
      </c>
      <c r="H45" s="30"/>
      <c r="I45" s="30"/>
      <c r="J45" s="30"/>
      <c r="K45" s="30"/>
      <c r="L45" s="30"/>
      <c r="M45" s="30"/>
      <c r="N45" s="41"/>
    </row>
    <row r="46" spans="2:14" x14ac:dyDescent="0.3">
      <c r="B46" s="14">
        <f t="shared" si="0"/>
        <v>15</v>
      </c>
      <c r="C46" s="7">
        <f t="shared" si="1"/>
        <v>35</v>
      </c>
      <c r="D46" s="7">
        <f>NCFA2[[#This Row],[n ]]-NCFA2[[#This Row],[k]]</f>
        <v>-20</v>
      </c>
      <c r="E46" s="5">
        <f>IF(NCFA2[[#This Row],[n-k]]&lt;0,$E$11,$E$11)</f>
        <v>95</v>
      </c>
      <c r="F46" s="5">
        <f>IF(NCFA2[[#This Row],[n-k]]&lt;0,0,((_xlfn.POISSON.DIST(NCFA2[[#This Row],[k]],$G$7,FALSE))*100))</f>
        <v>0</v>
      </c>
      <c r="G46" s="5">
        <f>IF(NCFA2[[#This Row],[n-k]]&lt;0,100,((_xlfn.POISSON.DIST(NCFA2[[#This Row],[k]],$G$7,TRUE))*100))</f>
        <v>100</v>
      </c>
      <c r="H46" s="30"/>
      <c r="I46" s="30"/>
      <c r="J46" s="30"/>
      <c r="K46" s="30"/>
      <c r="L46" s="30"/>
      <c r="M46" s="30"/>
      <c r="N46" s="41"/>
    </row>
    <row r="47" spans="2:14" x14ac:dyDescent="0.3">
      <c r="B47" s="14">
        <f t="shared" si="0"/>
        <v>15</v>
      </c>
      <c r="C47" s="7">
        <f t="shared" si="1"/>
        <v>36</v>
      </c>
      <c r="D47" s="7">
        <f>NCFA2[[#This Row],[n ]]-NCFA2[[#This Row],[k]]</f>
        <v>-21</v>
      </c>
      <c r="E47" s="5">
        <f>IF(NCFA2[[#This Row],[n-k]]&lt;0,$E$11,$E$11)</f>
        <v>95</v>
      </c>
      <c r="F47" s="5">
        <f>IF(NCFA2[[#This Row],[n-k]]&lt;0,0,((_xlfn.POISSON.DIST(NCFA2[[#This Row],[k]],$G$7,FALSE))*100))</f>
        <v>0</v>
      </c>
      <c r="G47" s="5">
        <f>IF(NCFA2[[#This Row],[n-k]]&lt;0,100,((_xlfn.POISSON.DIST(NCFA2[[#This Row],[k]],$G$7,TRUE))*100))</f>
        <v>100</v>
      </c>
      <c r="H47" s="30"/>
      <c r="I47" s="30"/>
      <c r="J47" s="30"/>
      <c r="K47" s="30"/>
      <c r="L47" s="30"/>
      <c r="M47" s="30"/>
      <c r="N47" s="41"/>
    </row>
    <row r="48" spans="2:14" x14ac:dyDescent="0.3">
      <c r="B48" s="14">
        <f t="shared" si="0"/>
        <v>15</v>
      </c>
      <c r="C48" s="7">
        <f t="shared" si="1"/>
        <v>37</v>
      </c>
      <c r="D48" s="7">
        <f>NCFA2[[#This Row],[n ]]-NCFA2[[#This Row],[k]]</f>
        <v>-22</v>
      </c>
      <c r="E48" s="5">
        <f>IF(NCFA2[[#This Row],[n-k]]&lt;0,$E$11,$E$11)</f>
        <v>95</v>
      </c>
      <c r="F48" s="5">
        <f>IF(NCFA2[[#This Row],[n-k]]&lt;0,0,((_xlfn.POISSON.DIST(NCFA2[[#This Row],[k]],$G$7,FALSE))*100))</f>
        <v>0</v>
      </c>
      <c r="G48" s="5">
        <f>IF(NCFA2[[#This Row],[n-k]]&lt;0,100,((_xlfn.POISSON.DIST(NCFA2[[#This Row],[k]],$G$7,TRUE))*100))</f>
        <v>100</v>
      </c>
      <c r="H48" s="30"/>
      <c r="I48" s="30"/>
      <c r="J48" s="30"/>
      <c r="K48" s="30"/>
      <c r="L48" s="30"/>
      <c r="M48" s="30"/>
      <c r="N48" s="41"/>
    </row>
    <row r="49" spans="2:14" x14ac:dyDescent="0.3">
      <c r="B49" s="14">
        <f t="shared" si="0"/>
        <v>15</v>
      </c>
      <c r="C49" s="7">
        <f t="shared" si="1"/>
        <v>38</v>
      </c>
      <c r="D49" s="7">
        <f>NCFA2[[#This Row],[n ]]-NCFA2[[#This Row],[k]]</f>
        <v>-23</v>
      </c>
      <c r="E49" s="5">
        <f>IF(NCFA2[[#This Row],[n-k]]&lt;0,$E$11,$E$11)</f>
        <v>95</v>
      </c>
      <c r="F49" s="5">
        <f>IF(NCFA2[[#This Row],[n-k]]&lt;0,0,((_xlfn.POISSON.DIST(NCFA2[[#This Row],[k]],$G$7,FALSE))*100))</f>
        <v>0</v>
      </c>
      <c r="G49" s="5">
        <f>IF(NCFA2[[#This Row],[n-k]]&lt;0,100,((_xlfn.POISSON.DIST(NCFA2[[#This Row],[k]],$G$7,TRUE))*100))</f>
        <v>100</v>
      </c>
      <c r="H49" s="30"/>
      <c r="I49" s="30"/>
      <c r="J49" s="30"/>
      <c r="K49" s="30"/>
      <c r="L49" s="30"/>
      <c r="M49" s="30"/>
      <c r="N49" s="41"/>
    </row>
    <row r="50" spans="2:14" x14ac:dyDescent="0.3">
      <c r="B50" s="14">
        <f t="shared" si="0"/>
        <v>15</v>
      </c>
      <c r="C50" s="7">
        <f t="shared" si="1"/>
        <v>39</v>
      </c>
      <c r="D50" s="7">
        <f>NCFA2[[#This Row],[n ]]-NCFA2[[#This Row],[k]]</f>
        <v>-24</v>
      </c>
      <c r="E50" s="5">
        <f>IF(NCFA2[[#This Row],[n-k]]&lt;0,$E$11,$E$11)</f>
        <v>95</v>
      </c>
      <c r="F50" s="5">
        <f>IF(NCFA2[[#This Row],[n-k]]&lt;0,0,((_xlfn.POISSON.DIST(NCFA2[[#This Row],[k]],$G$7,FALSE))*100))</f>
        <v>0</v>
      </c>
      <c r="G50" s="5">
        <f>IF(NCFA2[[#This Row],[n-k]]&lt;0,100,((_xlfn.POISSON.DIST(NCFA2[[#This Row],[k]],$G$7,TRUE))*100))</f>
        <v>100</v>
      </c>
      <c r="H50" s="30"/>
      <c r="I50" s="30"/>
      <c r="J50" s="30"/>
      <c r="K50" s="30"/>
      <c r="L50" s="30"/>
      <c r="M50" s="30"/>
      <c r="N50" s="41"/>
    </row>
    <row r="51" spans="2:14" x14ac:dyDescent="0.3">
      <c r="B51" s="14">
        <f t="shared" si="0"/>
        <v>15</v>
      </c>
      <c r="C51" s="7">
        <f t="shared" si="1"/>
        <v>40</v>
      </c>
      <c r="D51" s="7">
        <f>NCFA2[[#This Row],[n ]]-NCFA2[[#This Row],[k]]</f>
        <v>-25</v>
      </c>
      <c r="E51" s="5">
        <f>IF(NCFA2[[#This Row],[n-k]]&lt;0,$E$11,$E$11)</f>
        <v>95</v>
      </c>
      <c r="F51" s="5">
        <f>IF(NCFA2[[#This Row],[n-k]]&lt;0,0,((_xlfn.POISSON.DIST(NCFA2[[#This Row],[k]],$G$7,FALSE))*100))</f>
        <v>0</v>
      </c>
      <c r="G51" s="5">
        <f>IF(NCFA2[[#This Row],[n-k]]&lt;0,100,((_xlfn.POISSON.DIST(NCFA2[[#This Row],[k]],$G$7,TRUE))*100))</f>
        <v>100</v>
      </c>
      <c r="H51" s="30"/>
      <c r="I51" s="30"/>
      <c r="J51" s="30"/>
      <c r="K51" s="30"/>
      <c r="L51" s="30"/>
      <c r="M51" s="30"/>
      <c r="N51" s="41"/>
    </row>
    <row r="52" spans="2:14" ht="21" x14ac:dyDescent="0.3">
      <c r="B52" s="42" t="s">
        <v>28</v>
      </c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4"/>
    </row>
    <row r="53" spans="2:14" ht="49.5" customHeight="1" x14ac:dyDescent="0.3">
      <c r="B53" s="12" t="s">
        <v>29</v>
      </c>
      <c r="C53" s="49">
        <v>454166</v>
      </c>
      <c r="D53" s="49"/>
      <c r="E53" s="1" t="s">
        <v>30</v>
      </c>
      <c r="F53" s="8">
        <v>0.06</v>
      </c>
      <c r="G53" s="1" t="s">
        <v>31</v>
      </c>
      <c r="H53" s="8">
        <v>0.1</v>
      </c>
      <c r="I53" s="1" t="s">
        <v>32</v>
      </c>
      <c r="J53" s="8">
        <v>0.03</v>
      </c>
      <c r="K53" s="1" t="s">
        <v>33</v>
      </c>
      <c r="L53" s="8">
        <v>0.02</v>
      </c>
      <c r="M53" s="1" t="s">
        <v>34</v>
      </c>
      <c r="N53" s="15">
        <v>0.15</v>
      </c>
    </row>
    <row r="54" spans="2:14" ht="77.25" customHeight="1" x14ac:dyDescent="0.3">
      <c r="B54" s="12" t="s">
        <v>37</v>
      </c>
      <c r="C54" s="1" t="s">
        <v>35</v>
      </c>
      <c r="D54" s="1" t="s">
        <v>36</v>
      </c>
      <c r="E54" s="1" t="s">
        <v>38</v>
      </c>
      <c r="F54" s="1" t="s">
        <v>39</v>
      </c>
      <c r="G54" s="1" t="s">
        <v>40</v>
      </c>
      <c r="H54" s="30"/>
      <c r="I54" s="30"/>
      <c r="J54" s="30"/>
      <c r="K54" s="30"/>
      <c r="L54" s="30"/>
      <c r="M54" s="30"/>
      <c r="N54" s="41"/>
    </row>
    <row r="55" spans="2:14" x14ac:dyDescent="0.3">
      <c r="B55" s="14">
        <v>1</v>
      </c>
      <c r="C55" s="9">
        <f>IF(Tabla94[[#This Row],[CANTIDAD DE REPUESTOS]]&lt;=B11,Tabla94[[#This Row],[CANTIDAD DE REPUESTOS]]*$C$53,Tabla94[[#This Row],[CANTIDAD DE REPUESTOS]]*$C$53)</f>
        <v>454166</v>
      </c>
      <c r="D55" s="9">
        <f>IF(Tabla94[[#This Row],[CANTIDAD DE REPUESTOS]]&lt;=B11,$C$53*$F$53*Tabla94[[#This Row],[CANTIDAD DE REPUESTOS]],$C$53*$F$53*Tabla94[[#This Row],[CANTIDAD DE REPUESTOS]])</f>
        <v>27249.96</v>
      </c>
      <c r="E55" s="9">
        <f>IF(Tabla94[[#This Row],[CANTIDAD DE REPUESTOS]]&lt;=B11,$C$53*$N$53*Tabla94[[#This Row],[CANTIDAD DE REPUESTOS]],$C$53*$N$53*Tabla94[[#This Row],[CANTIDAD DE REPUESTOS]])</f>
        <v>68124.899999999994</v>
      </c>
      <c r="F55" s="9">
        <f>IF(Tabla94[[#This Row],[CANTIDAD DE REPUESTOS]]&lt;=B11,Tabla94[[#This Row],[CANTIDAD DE REPUESTOS]]*($C$53)*($H$53+$J$53+$L$53),Tabla94[[#This Row],[CANTIDAD DE REPUESTOS]]*($C$53)*($H$53+$J$53+$L$53))</f>
        <v>68124.899999999994</v>
      </c>
      <c r="G55" s="9">
        <f>Tabla94[[#This Row],[COSTO DE COMPRA REPUESTOS]]+Tabla94[[#This Row],[COSTO DE ALMACENAMIENTO]]+Tabla94[[#This Row],[COSTO DE TRANSPORTE]]+Tabla94[[#This Row],[COSTOS DE IMPUESTOS Y OBSOLECENCIA]]</f>
        <v>617665.76</v>
      </c>
      <c r="H55" s="30"/>
      <c r="I55" s="30"/>
      <c r="J55" s="30"/>
      <c r="K55" s="30"/>
      <c r="L55" s="30"/>
      <c r="M55" s="30"/>
      <c r="N55" s="41"/>
    </row>
    <row r="56" spans="2:14" x14ac:dyDescent="0.3">
      <c r="B56" s="14">
        <f>B55+1</f>
        <v>2</v>
      </c>
      <c r="C56" s="9">
        <f>IF(Tabla94[[#This Row],[CANTIDAD DE REPUESTOS]]&lt;=B12,Tabla94[[#This Row],[CANTIDAD DE REPUESTOS]]*$C$53,Tabla94[[#This Row],[CANTIDAD DE REPUESTOS]]*$C$53)</f>
        <v>908332</v>
      </c>
      <c r="D56" s="9">
        <f>IF(Tabla94[[#This Row],[CANTIDAD DE REPUESTOS]]&lt;=B12,$C$53*$F$53*Tabla94[[#This Row],[CANTIDAD DE REPUESTOS]],$C$53*$F$53*Tabla94[[#This Row],[CANTIDAD DE REPUESTOS]])</f>
        <v>54499.92</v>
      </c>
      <c r="E56" s="9">
        <f>IF(Tabla94[[#This Row],[CANTIDAD DE REPUESTOS]]&lt;=B12,$C$53*$N$53*Tabla94[[#This Row],[CANTIDAD DE REPUESTOS]],$C$53*$N$53*Tabla94[[#This Row],[CANTIDAD DE REPUESTOS]])</f>
        <v>136249.79999999999</v>
      </c>
      <c r="F56" s="9">
        <f>IF(Tabla94[[#This Row],[CANTIDAD DE REPUESTOS]]&lt;=B12,Tabla94[[#This Row],[CANTIDAD DE REPUESTOS]]*($C$53)*($H$53+$J$53+$L$53),Tabla94[[#This Row],[CANTIDAD DE REPUESTOS]]*($C$53)*($H$53+$J$53+$L$53))</f>
        <v>136249.79999999999</v>
      </c>
      <c r="G56" s="9">
        <f>Tabla94[[#This Row],[COSTO DE COMPRA REPUESTOS]]+Tabla94[[#This Row],[COSTO DE ALMACENAMIENTO]]+Tabla94[[#This Row],[COSTO DE TRANSPORTE]]+Tabla94[[#This Row],[COSTOS DE IMPUESTOS Y OBSOLECENCIA]]</f>
        <v>1235331.52</v>
      </c>
      <c r="H56" s="30"/>
      <c r="I56" s="30"/>
      <c r="J56" s="30"/>
      <c r="K56" s="30"/>
      <c r="L56" s="30"/>
      <c r="M56" s="30"/>
      <c r="N56" s="41"/>
    </row>
    <row r="57" spans="2:14" x14ac:dyDescent="0.3">
      <c r="B57" s="14">
        <f t="shared" ref="B57:B93" si="2">B56+1</f>
        <v>3</v>
      </c>
      <c r="C57" s="9">
        <f>IF(Tabla94[[#This Row],[CANTIDAD DE REPUESTOS]]&lt;=B13,Tabla94[[#This Row],[CANTIDAD DE REPUESTOS]]*$C$53,Tabla94[[#This Row],[CANTIDAD DE REPUESTOS]]*$C$53)</f>
        <v>1362498</v>
      </c>
      <c r="D57" s="9">
        <f>IF(Tabla94[[#This Row],[CANTIDAD DE REPUESTOS]]&lt;=B13,$C$53*$F$53*Tabla94[[#This Row],[CANTIDAD DE REPUESTOS]],$C$53*$F$53*Tabla94[[#This Row],[CANTIDAD DE REPUESTOS]])</f>
        <v>81749.88</v>
      </c>
      <c r="E57" s="9">
        <f>IF(Tabla94[[#This Row],[CANTIDAD DE REPUESTOS]]&lt;=B13,$C$53*$N$53*Tabla94[[#This Row],[CANTIDAD DE REPUESTOS]],$C$53*$N$53*Tabla94[[#This Row],[CANTIDAD DE REPUESTOS]])</f>
        <v>204374.69999999998</v>
      </c>
      <c r="F57" s="9">
        <f>IF(Tabla94[[#This Row],[CANTIDAD DE REPUESTOS]]&lt;=B13,Tabla94[[#This Row],[CANTIDAD DE REPUESTOS]]*($C$53)*($H$53+$J$53+$L$53),Tabla94[[#This Row],[CANTIDAD DE REPUESTOS]]*($C$53)*($H$53+$J$53+$L$53))</f>
        <v>204374.69999999998</v>
      </c>
      <c r="G57" s="9">
        <f>Tabla94[[#This Row],[COSTO DE COMPRA REPUESTOS]]+Tabla94[[#This Row],[COSTO DE ALMACENAMIENTO]]+Tabla94[[#This Row],[COSTO DE TRANSPORTE]]+Tabla94[[#This Row],[COSTOS DE IMPUESTOS Y OBSOLECENCIA]]</f>
        <v>1852997.2799999998</v>
      </c>
      <c r="H57" s="30"/>
      <c r="I57" s="30"/>
      <c r="J57" s="30"/>
      <c r="K57" s="30"/>
      <c r="L57" s="30"/>
      <c r="M57" s="30"/>
      <c r="N57" s="41"/>
    </row>
    <row r="58" spans="2:14" x14ac:dyDescent="0.3">
      <c r="B58" s="14">
        <f t="shared" si="2"/>
        <v>4</v>
      </c>
      <c r="C58" s="9">
        <f>IF(Tabla94[[#This Row],[CANTIDAD DE REPUESTOS]]&lt;=B14,Tabla94[[#This Row],[CANTIDAD DE REPUESTOS]]*$C$53,Tabla94[[#This Row],[CANTIDAD DE REPUESTOS]]*$C$53)</f>
        <v>1816664</v>
      </c>
      <c r="D58" s="9">
        <f>IF(Tabla94[[#This Row],[CANTIDAD DE REPUESTOS]]&lt;=B14,$C$53*$F$53*Tabla94[[#This Row],[CANTIDAD DE REPUESTOS]],$C$53*$F$53*Tabla94[[#This Row],[CANTIDAD DE REPUESTOS]])</f>
        <v>108999.84</v>
      </c>
      <c r="E58" s="9">
        <f>IF(Tabla94[[#This Row],[CANTIDAD DE REPUESTOS]]&lt;=B14,$C$53*$N$53*Tabla94[[#This Row],[CANTIDAD DE REPUESTOS]],$C$53*$N$53*Tabla94[[#This Row],[CANTIDAD DE REPUESTOS]])</f>
        <v>272499.59999999998</v>
      </c>
      <c r="F58" s="9">
        <f>IF(Tabla94[[#This Row],[CANTIDAD DE REPUESTOS]]&lt;=B14,Tabla94[[#This Row],[CANTIDAD DE REPUESTOS]]*($C$53)*($H$53+$J$53+$L$53),Tabla94[[#This Row],[CANTIDAD DE REPUESTOS]]*($C$53)*($H$53+$J$53+$L$53))</f>
        <v>272499.59999999998</v>
      </c>
      <c r="G58" s="9">
        <f>Tabla94[[#This Row],[COSTO DE COMPRA REPUESTOS]]+Tabla94[[#This Row],[COSTO DE ALMACENAMIENTO]]+Tabla94[[#This Row],[COSTO DE TRANSPORTE]]+Tabla94[[#This Row],[COSTOS DE IMPUESTOS Y OBSOLECENCIA]]</f>
        <v>2470663.04</v>
      </c>
      <c r="H58" s="30"/>
      <c r="I58" s="30"/>
      <c r="J58" s="30"/>
      <c r="K58" s="30"/>
      <c r="L58" s="30"/>
      <c r="M58" s="30"/>
      <c r="N58" s="41"/>
    </row>
    <row r="59" spans="2:14" x14ac:dyDescent="0.3">
      <c r="B59" s="14">
        <f t="shared" si="2"/>
        <v>5</v>
      </c>
      <c r="C59" s="9">
        <f>IF(Tabla94[[#This Row],[CANTIDAD DE REPUESTOS]]&lt;=B15,Tabla94[[#This Row],[CANTIDAD DE REPUESTOS]]*$C$53,Tabla94[[#This Row],[CANTIDAD DE REPUESTOS]]*$C$53)</f>
        <v>2270830</v>
      </c>
      <c r="D59" s="9">
        <f>IF(Tabla94[[#This Row],[CANTIDAD DE REPUESTOS]]&lt;=B15,$C$53*$F$53*Tabla94[[#This Row],[CANTIDAD DE REPUESTOS]],$C$53*$F$53*Tabla94[[#This Row],[CANTIDAD DE REPUESTOS]])</f>
        <v>136249.79999999999</v>
      </c>
      <c r="E59" s="9">
        <f>IF(Tabla94[[#This Row],[CANTIDAD DE REPUESTOS]]&lt;=B15,$C$53*$N$53*Tabla94[[#This Row],[CANTIDAD DE REPUESTOS]],$C$53*$N$53*Tabla94[[#This Row],[CANTIDAD DE REPUESTOS]])</f>
        <v>340624.5</v>
      </c>
      <c r="F59" s="9">
        <f>IF(Tabla94[[#This Row],[CANTIDAD DE REPUESTOS]]&lt;=B15,Tabla94[[#This Row],[CANTIDAD DE REPUESTOS]]*($C$53)*($H$53+$J$53+$L$53),Tabla94[[#This Row],[CANTIDAD DE REPUESTOS]]*($C$53)*($H$53+$J$53+$L$53))</f>
        <v>340624.5</v>
      </c>
      <c r="G59" s="9">
        <f>Tabla94[[#This Row],[COSTO DE COMPRA REPUESTOS]]+Tabla94[[#This Row],[COSTO DE ALMACENAMIENTO]]+Tabla94[[#This Row],[COSTO DE TRANSPORTE]]+Tabla94[[#This Row],[COSTOS DE IMPUESTOS Y OBSOLECENCIA]]</f>
        <v>3088328.8</v>
      </c>
      <c r="H59" s="30"/>
      <c r="I59" s="30"/>
      <c r="J59" s="30"/>
      <c r="K59" s="30"/>
      <c r="L59" s="30"/>
      <c r="M59" s="30"/>
      <c r="N59" s="41"/>
    </row>
    <row r="60" spans="2:14" x14ac:dyDescent="0.3">
      <c r="B60" s="14">
        <f t="shared" si="2"/>
        <v>6</v>
      </c>
      <c r="C60" s="9">
        <f>IF(Tabla94[[#This Row],[CANTIDAD DE REPUESTOS]]&lt;=B16,Tabla94[[#This Row],[CANTIDAD DE REPUESTOS]]*$C$53,Tabla94[[#This Row],[CANTIDAD DE REPUESTOS]]*$C$53)</f>
        <v>2724996</v>
      </c>
      <c r="D60" s="9">
        <f>IF(Tabla94[[#This Row],[CANTIDAD DE REPUESTOS]]&lt;=B16,$C$53*$F$53*Tabla94[[#This Row],[CANTIDAD DE REPUESTOS]],$C$53*$F$53*Tabla94[[#This Row],[CANTIDAD DE REPUESTOS]])</f>
        <v>163499.76</v>
      </c>
      <c r="E60" s="9">
        <f>IF(Tabla94[[#This Row],[CANTIDAD DE REPUESTOS]]&lt;=B16,$C$53*$N$53*Tabla94[[#This Row],[CANTIDAD DE REPUESTOS]],$C$53*$N$53*Tabla94[[#This Row],[CANTIDAD DE REPUESTOS]])</f>
        <v>408749.39999999997</v>
      </c>
      <c r="F60" s="9">
        <f>IF(Tabla94[[#This Row],[CANTIDAD DE REPUESTOS]]&lt;=B16,Tabla94[[#This Row],[CANTIDAD DE REPUESTOS]]*($C$53)*($H$53+$J$53+$L$53),Tabla94[[#This Row],[CANTIDAD DE REPUESTOS]]*($C$53)*($H$53+$J$53+$L$53))</f>
        <v>408749.39999999997</v>
      </c>
      <c r="G60" s="9">
        <f>Tabla94[[#This Row],[COSTO DE COMPRA REPUESTOS]]+Tabla94[[#This Row],[COSTO DE ALMACENAMIENTO]]+Tabla94[[#This Row],[COSTO DE TRANSPORTE]]+Tabla94[[#This Row],[COSTOS DE IMPUESTOS Y OBSOLECENCIA]]</f>
        <v>3705994.5599999996</v>
      </c>
      <c r="H60" s="30"/>
      <c r="I60" s="30"/>
      <c r="J60" s="30"/>
      <c r="K60" s="30"/>
      <c r="L60" s="30"/>
      <c r="M60" s="30"/>
      <c r="N60" s="41"/>
    </row>
    <row r="61" spans="2:14" x14ac:dyDescent="0.3">
      <c r="B61" s="14">
        <f t="shared" si="2"/>
        <v>7</v>
      </c>
      <c r="C61" s="9">
        <f>IF(Tabla94[[#This Row],[CANTIDAD DE REPUESTOS]]&lt;=B17,Tabla94[[#This Row],[CANTIDAD DE REPUESTOS]]*$C$53,Tabla94[[#This Row],[CANTIDAD DE REPUESTOS]]*$C$53)</f>
        <v>3179162</v>
      </c>
      <c r="D61" s="9">
        <f>IF(Tabla94[[#This Row],[CANTIDAD DE REPUESTOS]]&lt;=B17,$C$53*$F$53*Tabla94[[#This Row],[CANTIDAD DE REPUESTOS]],$C$53*$F$53*Tabla94[[#This Row],[CANTIDAD DE REPUESTOS]])</f>
        <v>190749.72</v>
      </c>
      <c r="E61" s="9">
        <f>IF(Tabla94[[#This Row],[CANTIDAD DE REPUESTOS]]&lt;=B17,$C$53*$N$53*Tabla94[[#This Row],[CANTIDAD DE REPUESTOS]],$C$53*$N$53*Tabla94[[#This Row],[CANTIDAD DE REPUESTOS]])</f>
        <v>476874.29999999993</v>
      </c>
      <c r="F61" s="9">
        <f>IF(Tabla94[[#This Row],[CANTIDAD DE REPUESTOS]]&lt;=B17,Tabla94[[#This Row],[CANTIDAD DE REPUESTOS]]*($C$53)*($H$53+$J$53+$L$53),Tabla94[[#This Row],[CANTIDAD DE REPUESTOS]]*($C$53)*($H$53+$J$53+$L$53))</f>
        <v>476874.3</v>
      </c>
      <c r="G61" s="9">
        <f>Tabla94[[#This Row],[COSTO DE COMPRA REPUESTOS]]+Tabla94[[#This Row],[COSTO DE ALMACENAMIENTO]]+Tabla94[[#This Row],[COSTO DE TRANSPORTE]]+Tabla94[[#This Row],[COSTOS DE IMPUESTOS Y OBSOLECENCIA]]</f>
        <v>4323660.32</v>
      </c>
      <c r="H61" s="30"/>
      <c r="I61" s="30"/>
      <c r="J61" s="30"/>
      <c r="K61" s="30"/>
      <c r="L61" s="30"/>
      <c r="M61" s="30"/>
      <c r="N61" s="41"/>
    </row>
    <row r="62" spans="2:14" x14ac:dyDescent="0.3">
      <c r="B62" s="14">
        <f t="shared" si="2"/>
        <v>8</v>
      </c>
      <c r="C62" s="9">
        <f>IF(Tabla94[[#This Row],[CANTIDAD DE REPUESTOS]]&lt;=B18,Tabla94[[#This Row],[CANTIDAD DE REPUESTOS]]*$C$53,Tabla94[[#This Row],[CANTIDAD DE REPUESTOS]]*$C$53)</f>
        <v>3633328</v>
      </c>
      <c r="D62" s="9">
        <f>IF(Tabla94[[#This Row],[CANTIDAD DE REPUESTOS]]&lt;=B18,$C$53*$F$53*Tabla94[[#This Row],[CANTIDAD DE REPUESTOS]],$C$53*$F$53*Tabla94[[#This Row],[CANTIDAD DE REPUESTOS]])</f>
        <v>217999.68</v>
      </c>
      <c r="E62" s="9">
        <f>IF(Tabla94[[#This Row],[CANTIDAD DE REPUESTOS]]&lt;=B18,$C$53*$N$53*Tabla94[[#This Row],[CANTIDAD DE REPUESTOS]],$C$53*$N$53*Tabla94[[#This Row],[CANTIDAD DE REPUESTOS]])</f>
        <v>544999.19999999995</v>
      </c>
      <c r="F62" s="9">
        <f>IF(Tabla94[[#This Row],[CANTIDAD DE REPUESTOS]]&lt;=B18,Tabla94[[#This Row],[CANTIDAD DE REPUESTOS]]*($C$53)*($H$53+$J$53+$L$53),Tabla94[[#This Row],[CANTIDAD DE REPUESTOS]]*($C$53)*($H$53+$J$53+$L$53))</f>
        <v>544999.19999999995</v>
      </c>
      <c r="G62" s="9">
        <f>Tabla94[[#This Row],[COSTO DE COMPRA REPUESTOS]]+Tabla94[[#This Row],[COSTO DE ALMACENAMIENTO]]+Tabla94[[#This Row],[COSTO DE TRANSPORTE]]+Tabla94[[#This Row],[COSTOS DE IMPUESTOS Y OBSOLECENCIA]]</f>
        <v>4941326.08</v>
      </c>
      <c r="H62" s="30"/>
      <c r="I62" s="30"/>
      <c r="J62" s="30"/>
      <c r="K62" s="30"/>
      <c r="L62" s="30"/>
      <c r="M62" s="30"/>
      <c r="N62" s="41"/>
    </row>
    <row r="63" spans="2:14" x14ac:dyDescent="0.3">
      <c r="B63" s="14">
        <f t="shared" si="2"/>
        <v>9</v>
      </c>
      <c r="C63" s="9">
        <f>IF(Tabla94[[#This Row],[CANTIDAD DE REPUESTOS]]&lt;=B19,Tabla94[[#This Row],[CANTIDAD DE REPUESTOS]]*$C$53,Tabla94[[#This Row],[CANTIDAD DE REPUESTOS]]*$C$53)</f>
        <v>4087494</v>
      </c>
      <c r="D63" s="9">
        <f>IF(Tabla94[[#This Row],[CANTIDAD DE REPUESTOS]]&lt;=B19,$C$53*$F$53*Tabla94[[#This Row],[CANTIDAD DE REPUESTOS]],$C$53*$F$53*Tabla94[[#This Row],[CANTIDAD DE REPUESTOS]])</f>
        <v>245249.63999999998</v>
      </c>
      <c r="E63" s="9">
        <f>IF(Tabla94[[#This Row],[CANTIDAD DE REPUESTOS]]&lt;=B19,$C$53*$N$53*Tabla94[[#This Row],[CANTIDAD DE REPUESTOS]],$C$53*$N$53*Tabla94[[#This Row],[CANTIDAD DE REPUESTOS]])</f>
        <v>613124.1</v>
      </c>
      <c r="F63" s="9">
        <f>IF(Tabla94[[#This Row],[CANTIDAD DE REPUESTOS]]&lt;=B19,Tabla94[[#This Row],[CANTIDAD DE REPUESTOS]]*($C$53)*($H$53+$J$53+$L$53),Tabla94[[#This Row],[CANTIDAD DE REPUESTOS]]*($C$53)*($H$53+$J$53+$L$53))</f>
        <v>613124.1</v>
      </c>
      <c r="G63" s="9">
        <f>Tabla94[[#This Row],[COSTO DE COMPRA REPUESTOS]]+Tabla94[[#This Row],[COSTO DE ALMACENAMIENTO]]+Tabla94[[#This Row],[COSTO DE TRANSPORTE]]+Tabla94[[#This Row],[COSTOS DE IMPUESTOS Y OBSOLECENCIA]]</f>
        <v>5558991.8399999989</v>
      </c>
      <c r="H63" s="30"/>
      <c r="I63" s="30"/>
      <c r="J63" s="30"/>
      <c r="K63" s="30"/>
      <c r="L63" s="30"/>
      <c r="M63" s="30"/>
      <c r="N63" s="41"/>
    </row>
    <row r="64" spans="2:14" x14ac:dyDescent="0.3">
      <c r="B64" s="14">
        <f t="shared" si="2"/>
        <v>10</v>
      </c>
      <c r="C64" s="9">
        <f>IF(Tabla94[[#This Row],[CANTIDAD DE REPUESTOS]]&lt;=B20,Tabla94[[#This Row],[CANTIDAD DE REPUESTOS]]*$C$53,Tabla94[[#This Row],[CANTIDAD DE REPUESTOS]]*$C$53)</f>
        <v>4541660</v>
      </c>
      <c r="D64" s="9">
        <f>IF(Tabla94[[#This Row],[CANTIDAD DE REPUESTOS]]&lt;=B20,$C$53*$F$53*Tabla94[[#This Row],[CANTIDAD DE REPUESTOS]],$C$53*$F$53*Tabla94[[#This Row],[CANTIDAD DE REPUESTOS]])</f>
        <v>272499.59999999998</v>
      </c>
      <c r="E64" s="9">
        <f>IF(Tabla94[[#This Row],[CANTIDAD DE REPUESTOS]]&lt;=B20,$C$53*$N$53*Tabla94[[#This Row],[CANTIDAD DE REPUESTOS]],$C$53*$N$53*Tabla94[[#This Row],[CANTIDAD DE REPUESTOS]])</f>
        <v>681249</v>
      </c>
      <c r="F64" s="9">
        <f>IF(Tabla94[[#This Row],[CANTIDAD DE REPUESTOS]]&lt;=B20,Tabla94[[#This Row],[CANTIDAD DE REPUESTOS]]*($C$53)*($H$53+$J$53+$L$53),Tabla94[[#This Row],[CANTIDAD DE REPUESTOS]]*($C$53)*($H$53+$J$53+$L$53))</f>
        <v>681249</v>
      </c>
      <c r="G64" s="9">
        <f>Tabla94[[#This Row],[COSTO DE COMPRA REPUESTOS]]+Tabla94[[#This Row],[COSTO DE ALMACENAMIENTO]]+Tabla94[[#This Row],[COSTO DE TRANSPORTE]]+Tabla94[[#This Row],[COSTOS DE IMPUESTOS Y OBSOLECENCIA]]</f>
        <v>6176657.5999999996</v>
      </c>
      <c r="H64" s="30"/>
      <c r="I64" s="30"/>
      <c r="J64" s="30"/>
      <c r="K64" s="30"/>
      <c r="L64" s="30"/>
      <c r="M64" s="30"/>
      <c r="N64" s="41"/>
    </row>
    <row r="65" spans="2:14" x14ac:dyDescent="0.3">
      <c r="B65" s="14">
        <f t="shared" si="2"/>
        <v>11</v>
      </c>
      <c r="C65" s="9">
        <f>IF(Tabla94[[#This Row],[CANTIDAD DE REPUESTOS]]&lt;=B21,Tabla94[[#This Row],[CANTIDAD DE REPUESTOS]]*$C$53,Tabla94[[#This Row],[CANTIDAD DE REPUESTOS]]*$C$53)</f>
        <v>4995826</v>
      </c>
      <c r="D65" s="9">
        <f>IF(Tabla94[[#This Row],[CANTIDAD DE REPUESTOS]]&lt;=B21,$C$53*$F$53*Tabla94[[#This Row],[CANTIDAD DE REPUESTOS]],$C$53*$F$53*Tabla94[[#This Row],[CANTIDAD DE REPUESTOS]])</f>
        <v>299749.56</v>
      </c>
      <c r="E65" s="9">
        <f>IF(Tabla94[[#This Row],[CANTIDAD DE REPUESTOS]]&lt;=B21,$C$53*$N$53*Tabla94[[#This Row],[CANTIDAD DE REPUESTOS]],$C$53*$N$53*Tabla94[[#This Row],[CANTIDAD DE REPUESTOS]])</f>
        <v>749373.89999999991</v>
      </c>
      <c r="F65" s="9">
        <f>IF(Tabla94[[#This Row],[CANTIDAD DE REPUESTOS]]&lt;=B21,Tabla94[[#This Row],[CANTIDAD DE REPUESTOS]]*($C$53)*($H$53+$J$53+$L$53),Tabla94[[#This Row],[CANTIDAD DE REPUESTOS]]*($C$53)*($H$53+$J$53+$L$53))</f>
        <v>749373.9</v>
      </c>
      <c r="G65" s="9">
        <f>Tabla94[[#This Row],[COSTO DE COMPRA REPUESTOS]]+Tabla94[[#This Row],[COSTO DE ALMACENAMIENTO]]+Tabla94[[#This Row],[COSTO DE TRANSPORTE]]+Tabla94[[#This Row],[COSTOS DE IMPUESTOS Y OBSOLECENCIA]]</f>
        <v>6794323.3599999994</v>
      </c>
      <c r="H65" s="30"/>
      <c r="I65" s="30"/>
      <c r="J65" s="30"/>
      <c r="K65" s="30"/>
      <c r="L65" s="30"/>
      <c r="M65" s="30"/>
      <c r="N65" s="41"/>
    </row>
    <row r="66" spans="2:14" x14ac:dyDescent="0.3">
      <c r="B66" s="14">
        <f t="shared" si="2"/>
        <v>12</v>
      </c>
      <c r="C66" s="9">
        <f>IF(Tabla94[[#This Row],[CANTIDAD DE REPUESTOS]]&lt;=B22,Tabla94[[#This Row],[CANTIDAD DE REPUESTOS]]*$C$53,Tabla94[[#This Row],[CANTIDAD DE REPUESTOS]]*$C$53)</f>
        <v>5449992</v>
      </c>
      <c r="D66" s="9">
        <f>IF(Tabla94[[#This Row],[CANTIDAD DE REPUESTOS]]&lt;=B22,$C$53*$F$53*Tabla94[[#This Row],[CANTIDAD DE REPUESTOS]],$C$53*$F$53*Tabla94[[#This Row],[CANTIDAD DE REPUESTOS]])</f>
        <v>326999.52</v>
      </c>
      <c r="E66" s="9">
        <f>IF(Tabla94[[#This Row],[CANTIDAD DE REPUESTOS]]&lt;=B22,$C$53*$N$53*Tabla94[[#This Row],[CANTIDAD DE REPUESTOS]],$C$53*$N$53*Tabla94[[#This Row],[CANTIDAD DE REPUESTOS]])</f>
        <v>817498.79999999993</v>
      </c>
      <c r="F66" s="9">
        <f>IF(Tabla94[[#This Row],[CANTIDAD DE REPUESTOS]]&lt;=B22,Tabla94[[#This Row],[CANTIDAD DE REPUESTOS]]*($C$53)*($H$53+$J$53+$L$53),Tabla94[[#This Row],[CANTIDAD DE REPUESTOS]]*($C$53)*($H$53+$J$53+$L$53))</f>
        <v>817498.79999999993</v>
      </c>
      <c r="G66" s="9">
        <f>Tabla94[[#This Row],[COSTO DE COMPRA REPUESTOS]]+Tabla94[[#This Row],[COSTO DE ALMACENAMIENTO]]+Tabla94[[#This Row],[COSTO DE TRANSPORTE]]+Tabla94[[#This Row],[COSTOS DE IMPUESTOS Y OBSOLECENCIA]]</f>
        <v>7411989.1199999992</v>
      </c>
      <c r="H66" s="30"/>
      <c r="I66" s="30"/>
      <c r="J66" s="30"/>
      <c r="K66" s="30"/>
      <c r="L66" s="30"/>
      <c r="M66" s="30"/>
      <c r="N66" s="41"/>
    </row>
    <row r="67" spans="2:14" x14ac:dyDescent="0.3">
      <c r="B67" s="14">
        <f t="shared" si="2"/>
        <v>13</v>
      </c>
      <c r="C67" s="9">
        <f>IF(Tabla94[[#This Row],[CANTIDAD DE REPUESTOS]]&lt;=B23,Tabla94[[#This Row],[CANTIDAD DE REPUESTOS]]*$C$53,Tabla94[[#This Row],[CANTIDAD DE REPUESTOS]]*$C$53)</f>
        <v>5904158</v>
      </c>
      <c r="D67" s="9">
        <f>IF(Tabla94[[#This Row],[CANTIDAD DE REPUESTOS]]&lt;=B23,$C$53*$F$53*Tabla94[[#This Row],[CANTIDAD DE REPUESTOS]],$C$53*$F$53*Tabla94[[#This Row],[CANTIDAD DE REPUESTOS]])</f>
        <v>354249.48</v>
      </c>
      <c r="E67" s="9">
        <f>IF(Tabla94[[#This Row],[CANTIDAD DE REPUESTOS]]&lt;=B23,$C$53*$N$53*Tabla94[[#This Row],[CANTIDAD DE REPUESTOS]],$C$53*$N$53*Tabla94[[#This Row],[CANTIDAD DE REPUESTOS]])</f>
        <v>885623.7</v>
      </c>
      <c r="F67" s="9">
        <f>IF(Tabla94[[#This Row],[CANTIDAD DE REPUESTOS]]&lt;=B23,Tabla94[[#This Row],[CANTIDAD DE REPUESTOS]]*($C$53)*($H$53+$J$53+$L$53),Tabla94[[#This Row],[CANTIDAD DE REPUESTOS]]*($C$53)*($H$53+$J$53+$L$53))</f>
        <v>885623.7</v>
      </c>
      <c r="G67" s="9">
        <f>Tabla94[[#This Row],[COSTO DE COMPRA REPUESTOS]]+Tabla94[[#This Row],[COSTO DE ALMACENAMIENTO]]+Tabla94[[#This Row],[COSTO DE TRANSPORTE]]+Tabla94[[#This Row],[COSTOS DE IMPUESTOS Y OBSOLECENCIA]]</f>
        <v>8029654.8800000008</v>
      </c>
      <c r="H67" s="30"/>
      <c r="I67" s="30"/>
      <c r="J67" s="30"/>
      <c r="K67" s="30"/>
      <c r="L67" s="30"/>
      <c r="M67" s="30"/>
      <c r="N67" s="41"/>
    </row>
    <row r="68" spans="2:14" x14ac:dyDescent="0.3">
      <c r="B68" s="14">
        <f t="shared" si="2"/>
        <v>14</v>
      </c>
      <c r="C68" s="9">
        <f>IF(Tabla94[[#This Row],[CANTIDAD DE REPUESTOS]]&lt;=B24,Tabla94[[#This Row],[CANTIDAD DE REPUESTOS]]*$C$53,Tabla94[[#This Row],[CANTIDAD DE REPUESTOS]]*$C$53)</f>
        <v>6358324</v>
      </c>
      <c r="D68" s="9">
        <f>IF(Tabla94[[#This Row],[CANTIDAD DE REPUESTOS]]&lt;=B24,$C$53*$F$53*Tabla94[[#This Row],[CANTIDAD DE REPUESTOS]],$C$53*$F$53*Tabla94[[#This Row],[CANTIDAD DE REPUESTOS]])</f>
        <v>381499.44</v>
      </c>
      <c r="E68" s="9">
        <f>IF(Tabla94[[#This Row],[CANTIDAD DE REPUESTOS]]&lt;=B24,$C$53*$N$53*Tabla94[[#This Row],[CANTIDAD DE REPUESTOS]],$C$53*$N$53*Tabla94[[#This Row],[CANTIDAD DE REPUESTOS]])</f>
        <v>953748.59999999986</v>
      </c>
      <c r="F68" s="9">
        <f>IF(Tabla94[[#This Row],[CANTIDAD DE REPUESTOS]]&lt;=B24,Tabla94[[#This Row],[CANTIDAD DE REPUESTOS]]*($C$53)*($H$53+$J$53+$L$53),Tabla94[[#This Row],[CANTIDAD DE REPUESTOS]]*($C$53)*($H$53+$J$53+$L$53))</f>
        <v>953748.6</v>
      </c>
      <c r="G68" s="9">
        <f>Tabla94[[#This Row],[COSTO DE COMPRA REPUESTOS]]+Tabla94[[#This Row],[COSTO DE ALMACENAMIENTO]]+Tabla94[[#This Row],[COSTO DE TRANSPORTE]]+Tabla94[[#This Row],[COSTOS DE IMPUESTOS Y OBSOLECENCIA]]</f>
        <v>8647320.6400000006</v>
      </c>
      <c r="H68" s="30"/>
      <c r="I68" s="30"/>
      <c r="J68" s="30"/>
      <c r="K68" s="30"/>
      <c r="L68" s="30"/>
      <c r="M68" s="30"/>
      <c r="N68" s="41"/>
    </row>
    <row r="69" spans="2:14" x14ac:dyDescent="0.3">
      <c r="B69" s="14">
        <f t="shared" si="2"/>
        <v>15</v>
      </c>
      <c r="C69" s="9">
        <f>IF(Tabla94[[#This Row],[CANTIDAD DE REPUESTOS]]&lt;=B25,Tabla94[[#This Row],[CANTIDAD DE REPUESTOS]]*$C$53,Tabla94[[#This Row],[CANTIDAD DE REPUESTOS]]*$C$53)</f>
        <v>6812490</v>
      </c>
      <c r="D69" s="9">
        <f>IF(Tabla94[[#This Row],[CANTIDAD DE REPUESTOS]]&lt;=B25,$C$53*$F$53*Tabla94[[#This Row],[CANTIDAD DE REPUESTOS]],$C$53*$F$53*Tabla94[[#This Row],[CANTIDAD DE REPUESTOS]])</f>
        <v>408749.39999999997</v>
      </c>
      <c r="E69" s="9">
        <f>IF(Tabla94[[#This Row],[CANTIDAD DE REPUESTOS]]&lt;=B25,$C$53*$N$53*Tabla94[[#This Row],[CANTIDAD DE REPUESTOS]],$C$53*$N$53*Tabla94[[#This Row],[CANTIDAD DE REPUESTOS]])</f>
        <v>1021873.4999999999</v>
      </c>
      <c r="F69" s="9">
        <f>IF(Tabla94[[#This Row],[CANTIDAD DE REPUESTOS]]&lt;=B25,Tabla94[[#This Row],[CANTIDAD DE REPUESTOS]]*($C$53)*($H$53+$J$53+$L$53),Tabla94[[#This Row],[CANTIDAD DE REPUESTOS]]*($C$53)*($H$53+$J$53+$L$53))</f>
        <v>1021873.5</v>
      </c>
      <c r="G69" s="9">
        <f>Tabla94[[#This Row],[COSTO DE COMPRA REPUESTOS]]+Tabla94[[#This Row],[COSTO DE ALMACENAMIENTO]]+Tabla94[[#This Row],[COSTO DE TRANSPORTE]]+Tabla94[[#This Row],[COSTOS DE IMPUESTOS Y OBSOLECENCIA]]</f>
        <v>9264986.4000000004</v>
      </c>
      <c r="H69" s="30"/>
      <c r="I69" s="30"/>
      <c r="J69" s="30"/>
      <c r="K69" s="30"/>
      <c r="L69" s="30"/>
      <c r="M69" s="30"/>
      <c r="N69" s="41"/>
    </row>
    <row r="70" spans="2:14" x14ac:dyDescent="0.3">
      <c r="B70" s="14">
        <f t="shared" si="2"/>
        <v>16</v>
      </c>
      <c r="C70" s="9">
        <f>IF(Tabla94[[#This Row],[CANTIDAD DE REPUESTOS]]&lt;=B26,Tabla94[[#This Row],[CANTIDAD DE REPUESTOS]]*$C$53,Tabla94[[#This Row],[CANTIDAD DE REPUESTOS]]*$C$53)</f>
        <v>7266656</v>
      </c>
      <c r="D70" s="9">
        <f>IF(Tabla94[[#This Row],[CANTIDAD DE REPUESTOS]]&lt;=B26,$C$53*$F$53*Tabla94[[#This Row],[CANTIDAD DE REPUESTOS]],$C$53*$F$53*Tabla94[[#This Row],[CANTIDAD DE REPUESTOS]])</f>
        <v>435999.36</v>
      </c>
      <c r="E70" s="9">
        <f>IF(Tabla94[[#This Row],[CANTIDAD DE REPUESTOS]]&lt;=B26,$C$53*$N$53*Tabla94[[#This Row],[CANTIDAD DE REPUESTOS]],$C$53*$N$53*Tabla94[[#This Row],[CANTIDAD DE REPUESTOS]])</f>
        <v>1089998.3999999999</v>
      </c>
      <c r="F70" s="9">
        <f>IF(Tabla94[[#This Row],[CANTIDAD DE REPUESTOS]]&lt;=B26,Tabla94[[#This Row],[CANTIDAD DE REPUESTOS]]*($C$53)*($H$53+$J$53+$L$53),Tabla94[[#This Row],[CANTIDAD DE REPUESTOS]]*($C$53)*($H$53+$J$53+$L$53))</f>
        <v>1089998.3999999999</v>
      </c>
      <c r="G70" s="9">
        <f>Tabla94[[#This Row],[COSTO DE COMPRA REPUESTOS]]+Tabla94[[#This Row],[COSTO DE ALMACENAMIENTO]]+Tabla94[[#This Row],[COSTO DE TRANSPORTE]]+Tabla94[[#This Row],[COSTOS DE IMPUESTOS Y OBSOLECENCIA]]</f>
        <v>9882652.1600000001</v>
      </c>
      <c r="H70" s="30"/>
      <c r="I70" s="30"/>
      <c r="J70" s="30"/>
      <c r="K70" s="30"/>
      <c r="L70" s="30"/>
      <c r="M70" s="30"/>
      <c r="N70" s="41"/>
    </row>
    <row r="71" spans="2:14" x14ac:dyDescent="0.3">
      <c r="B71" s="14">
        <f t="shared" si="2"/>
        <v>17</v>
      </c>
      <c r="C71" s="9">
        <f>IF(Tabla94[[#This Row],[CANTIDAD DE REPUESTOS]]&lt;=B27,Tabla94[[#This Row],[CANTIDAD DE REPUESTOS]]*$C$53,Tabla94[[#This Row],[CANTIDAD DE REPUESTOS]]*$C$53)</f>
        <v>7720822</v>
      </c>
      <c r="D71" s="9">
        <f>IF(Tabla94[[#This Row],[CANTIDAD DE REPUESTOS]]&lt;=B27,$C$53*$F$53*Tabla94[[#This Row],[CANTIDAD DE REPUESTOS]],$C$53*$F$53*Tabla94[[#This Row],[CANTIDAD DE REPUESTOS]])</f>
        <v>463249.32</v>
      </c>
      <c r="E71" s="9">
        <f>IF(Tabla94[[#This Row],[CANTIDAD DE REPUESTOS]]&lt;=B27,$C$53*$N$53*Tabla94[[#This Row],[CANTIDAD DE REPUESTOS]],$C$53*$N$53*Tabla94[[#This Row],[CANTIDAD DE REPUESTOS]])</f>
        <v>1158123.2999999998</v>
      </c>
      <c r="F71" s="9">
        <f>IF(Tabla94[[#This Row],[CANTIDAD DE REPUESTOS]]&lt;=B27,Tabla94[[#This Row],[CANTIDAD DE REPUESTOS]]*($C$53)*($H$53+$J$53+$L$53),Tabla94[[#This Row],[CANTIDAD DE REPUESTOS]]*($C$53)*($H$53+$J$53+$L$53))</f>
        <v>1158123.3</v>
      </c>
      <c r="G71" s="9">
        <f>Tabla94[[#This Row],[COSTO DE COMPRA REPUESTOS]]+Tabla94[[#This Row],[COSTO DE ALMACENAMIENTO]]+Tabla94[[#This Row],[COSTO DE TRANSPORTE]]+Tabla94[[#This Row],[COSTOS DE IMPUESTOS Y OBSOLECENCIA]]</f>
        <v>10500317.920000002</v>
      </c>
      <c r="H71" s="30"/>
      <c r="I71" s="30"/>
      <c r="J71" s="30"/>
      <c r="K71" s="30"/>
      <c r="L71" s="30"/>
      <c r="M71" s="30"/>
      <c r="N71" s="41"/>
    </row>
    <row r="72" spans="2:14" x14ac:dyDescent="0.3">
      <c r="B72" s="14">
        <f t="shared" si="2"/>
        <v>18</v>
      </c>
      <c r="C72" s="9">
        <f>IF(Tabla94[[#This Row],[CANTIDAD DE REPUESTOS]]&lt;=B28,Tabla94[[#This Row],[CANTIDAD DE REPUESTOS]]*$C$53,Tabla94[[#This Row],[CANTIDAD DE REPUESTOS]]*$C$53)</f>
        <v>8174988</v>
      </c>
      <c r="D72" s="9">
        <f>IF(Tabla94[[#This Row],[CANTIDAD DE REPUESTOS]]&lt;=B28,$C$53*$F$53*Tabla94[[#This Row],[CANTIDAD DE REPUESTOS]],$C$53*$F$53*Tabla94[[#This Row],[CANTIDAD DE REPUESTOS]])</f>
        <v>490499.27999999997</v>
      </c>
      <c r="E72" s="9">
        <f>IF(Tabla94[[#This Row],[CANTIDAD DE REPUESTOS]]&lt;=B28,$C$53*$N$53*Tabla94[[#This Row],[CANTIDAD DE REPUESTOS]],$C$53*$N$53*Tabla94[[#This Row],[CANTIDAD DE REPUESTOS]])</f>
        <v>1226248.2</v>
      </c>
      <c r="F72" s="9">
        <f>IF(Tabla94[[#This Row],[CANTIDAD DE REPUESTOS]]&lt;=B28,Tabla94[[#This Row],[CANTIDAD DE REPUESTOS]]*($C$53)*($H$53+$J$53+$L$53),Tabla94[[#This Row],[CANTIDAD DE REPUESTOS]]*($C$53)*($H$53+$J$53+$L$53))</f>
        <v>1226248.2</v>
      </c>
      <c r="G72" s="9">
        <f>Tabla94[[#This Row],[COSTO DE COMPRA REPUESTOS]]+Tabla94[[#This Row],[COSTO DE ALMACENAMIENTO]]+Tabla94[[#This Row],[COSTO DE TRANSPORTE]]+Tabla94[[#This Row],[COSTOS DE IMPUESTOS Y OBSOLECENCIA]]</f>
        <v>11117983.679999998</v>
      </c>
      <c r="H72" s="30"/>
      <c r="I72" s="30"/>
      <c r="J72" s="30"/>
      <c r="K72" s="30"/>
      <c r="L72" s="30"/>
      <c r="M72" s="30"/>
      <c r="N72" s="41"/>
    </row>
    <row r="73" spans="2:14" x14ac:dyDescent="0.3">
      <c r="B73" s="14">
        <f t="shared" si="2"/>
        <v>19</v>
      </c>
      <c r="C73" s="9">
        <f>IF(Tabla94[[#This Row],[CANTIDAD DE REPUESTOS]]&lt;=B29,Tabla94[[#This Row],[CANTIDAD DE REPUESTOS]]*$C$53,Tabla94[[#This Row],[CANTIDAD DE REPUESTOS]]*$C$53)</f>
        <v>8629154</v>
      </c>
      <c r="D73" s="9">
        <f>IF(Tabla94[[#This Row],[CANTIDAD DE REPUESTOS]]&lt;=B29,$C$53*$F$53*Tabla94[[#This Row],[CANTIDAD DE REPUESTOS]],$C$53*$F$53*Tabla94[[#This Row],[CANTIDAD DE REPUESTOS]])</f>
        <v>517749.24</v>
      </c>
      <c r="E73" s="9">
        <f>IF(Tabla94[[#This Row],[CANTIDAD DE REPUESTOS]]&lt;=B29,$C$53*$N$53*Tabla94[[#This Row],[CANTIDAD DE REPUESTOS]],$C$53*$N$53*Tabla94[[#This Row],[CANTIDAD DE REPUESTOS]])</f>
        <v>1294373.0999999999</v>
      </c>
      <c r="F73" s="9">
        <f>IF(Tabla94[[#This Row],[CANTIDAD DE REPUESTOS]]&lt;=B29,Tabla94[[#This Row],[CANTIDAD DE REPUESTOS]]*($C$53)*($H$53+$J$53+$L$53),Tabla94[[#This Row],[CANTIDAD DE REPUESTOS]]*($C$53)*($H$53+$J$53+$L$53))</f>
        <v>1294373.0999999999</v>
      </c>
      <c r="G73" s="9">
        <f>Tabla94[[#This Row],[COSTO DE COMPRA REPUESTOS]]+Tabla94[[#This Row],[COSTO DE ALMACENAMIENTO]]+Tabla94[[#This Row],[COSTO DE TRANSPORTE]]+Tabla94[[#This Row],[COSTOS DE IMPUESTOS Y OBSOLECENCIA]]</f>
        <v>11735649.439999999</v>
      </c>
      <c r="H73" s="30"/>
      <c r="I73" s="30"/>
      <c r="J73" s="30"/>
      <c r="K73" s="30"/>
      <c r="L73" s="30"/>
      <c r="M73" s="30"/>
      <c r="N73" s="41"/>
    </row>
    <row r="74" spans="2:14" x14ac:dyDescent="0.3">
      <c r="B74" s="14">
        <f t="shared" si="2"/>
        <v>20</v>
      </c>
      <c r="C74" s="9">
        <f>IF(Tabla94[[#This Row],[CANTIDAD DE REPUESTOS]]&lt;=B30,Tabla94[[#This Row],[CANTIDAD DE REPUESTOS]]*$C$53,Tabla94[[#This Row],[CANTIDAD DE REPUESTOS]]*$C$53)</f>
        <v>9083320</v>
      </c>
      <c r="D74" s="9">
        <f>IF(Tabla94[[#This Row],[CANTIDAD DE REPUESTOS]]&lt;=B30,$C$53*$F$53*Tabla94[[#This Row],[CANTIDAD DE REPUESTOS]],$C$53*$F$53*Tabla94[[#This Row],[CANTIDAD DE REPUESTOS]])</f>
        <v>544999.19999999995</v>
      </c>
      <c r="E74" s="9">
        <f>IF(Tabla94[[#This Row],[CANTIDAD DE REPUESTOS]]&lt;=B30,$C$53*$N$53*Tabla94[[#This Row],[CANTIDAD DE REPUESTOS]],$C$53*$N$53*Tabla94[[#This Row],[CANTIDAD DE REPUESTOS]])</f>
        <v>1362498</v>
      </c>
      <c r="F74" s="9">
        <f>IF(Tabla94[[#This Row],[CANTIDAD DE REPUESTOS]]&lt;=B30,Tabla94[[#This Row],[CANTIDAD DE REPUESTOS]]*($C$53)*($H$53+$J$53+$L$53),Tabla94[[#This Row],[CANTIDAD DE REPUESTOS]]*($C$53)*($H$53+$J$53+$L$53))</f>
        <v>1362498</v>
      </c>
      <c r="G74" s="9">
        <f>Tabla94[[#This Row],[COSTO DE COMPRA REPUESTOS]]+Tabla94[[#This Row],[COSTO DE ALMACENAMIENTO]]+Tabla94[[#This Row],[COSTO DE TRANSPORTE]]+Tabla94[[#This Row],[COSTOS DE IMPUESTOS Y OBSOLECENCIA]]</f>
        <v>12353315.199999999</v>
      </c>
      <c r="H74" s="30"/>
      <c r="I74" s="30"/>
      <c r="J74" s="30"/>
      <c r="K74" s="30"/>
      <c r="L74" s="30"/>
      <c r="M74" s="30"/>
      <c r="N74" s="41"/>
    </row>
    <row r="75" spans="2:14" x14ac:dyDescent="0.3">
      <c r="B75" s="14">
        <f t="shared" si="2"/>
        <v>21</v>
      </c>
      <c r="C75" s="9">
        <f>IF(Tabla94[[#This Row],[CANTIDAD DE REPUESTOS]]&lt;=B31,Tabla94[[#This Row],[CANTIDAD DE REPUESTOS]]*$C$53,Tabla94[[#This Row],[CANTIDAD DE REPUESTOS]]*$C$53)</f>
        <v>9537486</v>
      </c>
      <c r="D75" s="9">
        <f>IF(Tabla94[[#This Row],[CANTIDAD DE REPUESTOS]]&lt;=B31,$C$53*$F$53*Tabla94[[#This Row],[CANTIDAD DE REPUESTOS]],$C$53*$F$53*Tabla94[[#This Row],[CANTIDAD DE REPUESTOS]])</f>
        <v>572249.16</v>
      </c>
      <c r="E75" s="9">
        <f>IF(Tabla94[[#This Row],[CANTIDAD DE REPUESTOS]]&lt;=B31,$C$53*$N$53*Tabla94[[#This Row],[CANTIDAD DE REPUESTOS]],$C$53*$N$53*Tabla94[[#This Row],[CANTIDAD DE REPUESTOS]])</f>
        <v>1430622.9</v>
      </c>
      <c r="F75" s="9">
        <f>IF(Tabla94[[#This Row],[CANTIDAD DE REPUESTOS]]&lt;=B31,Tabla94[[#This Row],[CANTIDAD DE REPUESTOS]]*($C$53)*($H$53+$J$53+$L$53),Tabla94[[#This Row],[CANTIDAD DE REPUESTOS]]*($C$53)*($H$53+$J$53+$L$53))</f>
        <v>1430622.9</v>
      </c>
      <c r="G75" s="9">
        <f>Tabla94[[#This Row],[COSTO DE COMPRA REPUESTOS]]+Tabla94[[#This Row],[COSTO DE ALMACENAMIENTO]]+Tabla94[[#This Row],[COSTO DE TRANSPORTE]]+Tabla94[[#This Row],[COSTOS DE IMPUESTOS Y OBSOLECENCIA]]</f>
        <v>12970980.960000001</v>
      </c>
      <c r="H75" s="30"/>
      <c r="I75" s="30"/>
      <c r="J75" s="30"/>
      <c r="K75" s="30"/>
      <c r="L75" s="30"/>
      <c r="M75" s="30"/>
      <c r="N75" s="41"/>
    </row>
    <row r="76" spans="2:14" x14ac:dyDescent="0.3">
      <c r="B76" s="14">
        <f t="shared" si="2"/>
        <v>22</v>
      </c>
      <c r="C76" s="9">
        <f>IF(Tabla94[[#This Row],[CANTIDAD DE REPUESTOS]]&lt;=B32,Tabla94[[#This Row],[CANTIDAD DE REPUESTOS]]*$C$53,Tabla94[[#This Row],[CANTIDAD DE REPUESTOS]]*$C$53)</f>
        <v>9991652</v>
      </c>
      <c r="D76" s="9">
        <f>IF(Tabla94[[#This Row],[CANTIDAD DE REPUESTOS]]&lt;=B32,$C$53*$F$53*Tabla94[[#This Row],[CANTIDAD DE REPUESTOS]],$C$53*$F$53*Tabla94[[#This Row],[CANTIDAD DE REPUESTOS]])</f>
        <v>599499.12</v>
      </c>
      <c r="E76" s="9">
        <f>IF(Tabla94[[#This Row],[CANTIDAD DE REPUESTOS]]&lt;=B32,$C$53*$N$53*Tabla94[[#This Row],[CANTIDAD DE REPUESTOS]],$C$53*$N$53*Tabla94[[#This Row],[CANTIDAD DE REPUESTOS]])</f>
        <v>1498747.7999999998</v>
      </c>
      <c r="F76" s="9">
        <f>IF(Tabla94[[#This Row],[CANTIDAD DE REPUESTOS]]&lt;=B32,Tabla94[[#This Row],[CANTIDAD DE REPUESTOS]]*($C$53)*($H$53+$J$53+$L$53),Tabla94[[#This Row],[CANTIDAD DE REPUESTOS]]*($C$53)*($H$53+$J$53+$L$53))</f>
        <v>1498747.8</v>
      </c>
      <c r="G76" s="9">
        <f>Tabla94[[#This Row],[COSTO DE COMPRA REPUESTOS]]+Tabla94[[#This Row],[COSTO DE ALMACENAMIENTO]]+Tabla94[[#This Row],[COSTO DE TRANSPORTE]]+Tabla94[[#This Row],[COSTOS DE IMPUESTOS Y OBSOLECENCIA]]</f>
        <v>13588646.719999999</v>
      </c>
      <c r="H76" s="30"/>
      <c r="I76" s="30"/>
      <c r="J76" s="30"/>
      <c r="K76" s="30"/>
      <c r="L76" s="30"/>
      <c r="M76" s="30"/>
      <c r="N76" s="41"/>
    </row>
    <row r="77" spans="2:14" x14ac:dyDescent="0.3">
      <c r="B77" s="14">
        <f t="shared" si="2"/>
        <v>23</v>
      </c>
      <c r="C77" s="9">
        <f>IF(Tabla94[[#This Row],[CANTIDAD DE REPUESTOS]]&lt;=B33,Tabla94[[#This Row],[CANTIDAD DE REPUESTOS]]*$C$53,Tabla94[[#This Row],[CANTIDAD DE REPUESTOS]]*$C$53)</f>
        <v>10445818</v>
      </c>
      <c r="D77" s="9">
        <f>IF(Tabla94[[#This Row],[CANTIDAD DE REPUESTOS]]&lt;=B33,$C$53*$F$53*Tabla94[[#This Row],[CANTIDAD DE REPUESTOS]],$C$53*$F$53*Tabla94[[#This Row],[CANTIDAD DE REPUESTOS]])</f>
        <v>626749.07999999996</v>
      </c>
      <c r="E77" s="9">
        <f>IF(Tabla94[[#This Row],[CANTIDAD DE REPUESTOS]]&lt;=B33,$C$53*$N$53*Tabla94[[#This Row],[CANTIDAD DE REPUESTOS]],$C$53*$N$53*Tabla94[[#This Row],[CANTIDAD DE REPUESTOS]])</f>
        <v>1566872.7</v>
      </c>
      <c r="F77" s="9">
        <f>IF(Tabla94[[#This Row],[CANTIDAD DE REPUESTOS]]&lt;=B33,Tabla94[[#This Row],[CANTIDAD DE REPUESTOS]]*($C$53)*($H$53+$J$53+$L$53),Tabla94[[#This Row],[CANTIDAD DE REPUESTOS]]*($C$53)*($H$53+$J$53+$L$53))</f>
        <v>1566872.7</v>
      </c>
      <c r="G77" s="9">
        <f>Tabla94[[#This Row],[COSTO DE COMPRA REPUESTOS]]+Tabla94[[#This Row],[COSTO DE ALMACENAMIENTO]]+Tabla94[[#This Row],[COSTO DE TRANSPORTE]]+Tabla94[[#This Row],[COSTOS DE IMPUESTOS Y OBSOLECENCIA]]</f>
        <v>14206312.479999999</v>
      </c>
      <c r="H77" s="30"/>
      <c r="I77" s="30"/>
      <c r="J77" s="30"/>
      <c r="K77" s="30"/>
      <c r="L77" s="30"/>
      <c r="M77" s="30"/>
      <c r="N77" s="41"/>
    </row>
    <row r="78" spans="2:14" x14ac:dyDescent="0.3">
      <c r="B78" s="14">
        <f t="shared" si="2"/>
        <v>24</v>
      </c>
      <c r="C78" s="9">
        <f>IF(Tabla94[[#This Row],[CANTIDAD DE REPUESTOS]]&lt;=B34,Tabla94[[#This Row],[CANTIDAD DE REPUESTOS]]*$C$53,Tabla94[[#This Row],[CANTIDAD DE REPUESTOS]]*$C$53)</f>
        <v>10899984</v>
      </c>
      <c r="D78" s="9">
        <f>IF(Tabla94[[#This Row],[CANTIDAD DE REPUESTOS]]&lt;=B34,$C$53*$F$53*Tabla94[[#This Row],[CANTIDAD DE REPUESTOS]],$C$53*$F$53*Tabla94[[#This Row],[CANTIDAD DE REPUESTOS]])</f>
        <v>653999.04</v>
      </c>
      <c r="E78" s="9">
        <f>IF(Tabla94[[#This Row],[CANTIDAD DE REPUESTOS]]&lt;=B34,$C$53*$N$53*Tabla94[[#This Row],[CANTIDAD DE REPUESTOS]],$C$53*$N$53*Tabla94[[#This Row],[CANTIDAD DE REPUESTOS]])</f>
        <v>1634997.5999999999</v>
      </c>
      <c r="F78" s="9">
        <f>IF(Tabla94[[#This Row],[CANTIDAD DE REPUESTOS]]&lt;=B34,Tabla94[[#This Row],[CANTIDAD DE REPUESTOS]]*($C$53)*($H$53+$J$53+$L$53),Tabla94[[#This Row],[CANTIDAD DE REPUESTOS]]*($C$53)*($H$53+$J$53+$L$53))</f>
        <v>1634997.5999999999</v>
      </c>
      <c r="G78" s="9">
        <f>Tabla94[[#This Row],[COSTO DE COMPRA REPUESTOS]]+Tabla94[[#This Row],[COSTO DE ALMACENAMIENTO]]+Tabla94[[#This Row],[COSTO DE TRANSPORTE]]+Tabla94[[#This Row],[COSTOS DE IMPUESTOS Y OBSOLECENCIA]]</f>
        <v>14823978.239999998</v>
      </c>
      <c r="H78" s="30"/>
      <c r="I78" s="30"/>
      <c r="J78" s="30"/>
      <c r="K78" s="30"/>
      <c r="L78" s="30"/>
      <c r="M78" s="30"/>
      <c r="N78" s="41"/>
    </row>
    <row r="79" spans="2:14" x14ac:dyDescent="0.3">
      <c r="B79" s="14">
        <f t="shared" si="2"/>
        <v>25</v>
      </c>
      <c r="C79" s="9">
        <f>IF(Tabla94[[#This Row],[CANTIDAD DE REPUESTOS]]&lt;=B35,Tabla94[[#This Row],[CANTIDAD DE REPUESTOS]]*$C$53,Tabla94[[#This Row],[CANTIDAD DE REPUESTOS]]*$C$53)</f>
        <v>11354150</v>
      </c>
      <c r="D79" s="9">
        <f>IF(Tabla94[[#This Row],[CANTIDAD DE REPUESTOS]]&lt;=B35,$C$53*$F$53*Tabla94[[#This Row],[CANTIDAD DE REPUESTOS]],$C$53*$F$53*Tabla94[[#This Row],[CANTIDAD DE REPUESTOS]])</f>
        <v>681249</v>
      </c>
      <c r="E79" s="9">
        <f>IF(Tabla94[[#This Row],[CANTIDAD DE REPUESTOS]]&lt;=B35,$C$53*$N$53*Tabla94[[#This Row],[CANTIDAD DE REPUESTOS]],$C$53*$N$53*Tabla94[[#This Row],[CANTIDAD DE REPUESTOS]])</f>
        <v>1703122.4999999998</v>
      </c>
      <c r="F79" s="9">
        <f>IF(Tabla94[[#This Row],[CANTIDAD DE REPUESTOS]]&lt;=B35,Tabla94[[#This Row],[CANTIDAD DE REPUESTOS]]*($C$53)*($H$53+$J$53+$L$53),Tabla94[[#This Row],[CANTIDAD DE REPUESTOS]]*($C$53)*($H$53+$J$53+$L$53))</f>
        <v>1703122.5</v>
      </c>
      <c r="G79" s="9">
        <f>Tabla94[[#This Row],[COSTO DE COMPRA REPUESTOS]]+Tabla94[[#This Row],[COSTO DE ALMACENAMIENTO]]+Tabla94[[#This Row],[COSTO DE TRANSPORTE]]+Tabla94[[#This Row],[COSTOS DE IMPUESTOS Y OBSOLECENCIA]]</f>
        <v>15441644</v>
      </c>
      <c r="H79" s="30"/>
      <c r="I79" s="30"/>
      <c r="J79" s="30"/>
      <c r="K79" s="30"/>
      <c r="L79" s="30"/>
      <c r="M79" s="30"/>
      <c r="N79" s="41"/>
    </row>
    <row r="80" spans="2:14" x14ac:dyDescent="0.3">
      <c r="B80" s="14">
        <f t="shared" si="2"/>
        <v>26</v>
      </c>
      <c r="C80" s="9">
        <f>IF(Tabla94[[#This Row],[CANTIDAD DE REPUESTOS]]&lt;=B36,Tabla94[[#This Row],[CANTIDAD DE REPUESTOS]]*$C$53,Tabla94[[#This Row],[CANTIDAD DE REPUESTOS]]*$C$53)</f>
        <v>11808316</v>
      </c>
      <c r="D80" s="9">
        <f>IF(Tabla94[[#This Row],[CANTIDAD DE REPUESTOS]]&lt;=B36,$C$53*$F$53*Tabla94[[#This Row],[CANTIDAD DE REPUESTOS]],$C$53*$F$53*Tabla94[[#This Row],[CANTIDAD DE REPUESTOS]])</f>
        <v>708498.96</v>
      </c>
      <c r="E80" s="9">
        <f>IF(Tabla94[[#This Row],[CANTIDAD DE REPUESTOS]]&lt;=B36,$C$53*$N$53*Tabla94[[#This Row],[CANTIDAD DE REPUESTOS]],$C$53*$N$53*Tabla94[[#This Row],[CANTIDAD DE REPUESTOS]])</f>
        <v>1771247.4</v>
      </c>
      <c r="F80" s="9">
        <f>IF(Tabla94[[#This Row],[CANTIDAD DE REPUESTOS]]&lt;=B36,Tabla94[[#This Row],[CANTIDAD DE REPUESTOS]]*($C$53)*($H$53+$J$53+$L$53),Tabla94[[#This Row],[CANTIDAD DE REPUESTOS]]*($C$53)*($H$53+$J$53+$L$53))</f>
        <v>1771247.4</v>
      </c>
      <c r="G80" s="9">
        <f>Tabla94[[#This Row],[COSTO DE COMPRA REPUESTOS]]+Tabla94[[#This Row],[COSTO DE ALMACENAMIENTO]]+Tabla94[[#This Row],[COSTO DE TRANSPORTE]]+Tabla94[[#This Row],[COSTOS DE IMPUESTOS Y OBSOLECENCIA]]</f>
        <v>16059309.760000002</v>
      </c>
      <c r="H80" s="30"/>
      <c r="I80" s="30"/>
      <c r="J80" s="30"/>
      <c r="K80" s="30"/>
      <c r="L80" s="30"/>
      <c r="M80" s="30"/>
      <c r="N80" s="41"/>
    </row>
    <row r="81" spans="2:14" x14ac:dyDescent="0.3">
      <c r="B81" s="14">
        <f t="shared" si="2"/>
        <v>27</v>
      </c>
      <c r="C81" s="9">
        <f>IF(Tabla94[[#This Row],[CANTIDAD DE REPUESTOS]]&lt;=B37,Tabla94[[#This Row],[CANTIDAD DE REPUESTOS]]*$C$53,Tabla94[[#This Row],[CANTIDAD DE REPUESTOS]]*$C$53)</f>
        <v>12262482</v>
      </c>
      <c r="D81" s="9">
        <f>IF(Tabla94[[#This Row],[CANTIDAD DE REPUESTOS]]&lt;=B37,$C$53*$F$53*Tabla94[[#This Row],[CANTIDAD DE REPUESTOS]],$C$53*$F$53*Tabla94[[#This Row],[CANTIDAD DE REPUESTOS]])</f>
        <v>735748.91999999993</v>
      </c>
      <c r="E81" s="9">
        <f>IF(Tabla94[[#This Row],[CANTIDAD DE REPUESTOS]]&lt;=B37,$C$53*$N$53*Tabla94[[#This Row],[CANTIDAD DE REPUESTOS]],$C$53*$N$53*Tabla94[[#This Row],[CANTIDAD DE REPUESTOS]])</f>
        <v>1839372.2999999998</v>
      </c>
      <c r="F81" s="9">
        <f>IF(Tabla94[[#This Row],[CANTIDAD DE REPUESTOS]]&lt;=B37,Tabla94[[#This Row],[CANTIDAD DE REPUESTOS]]*($C$53)*($H$53+$J$53+$L$53),Tabla94[[#This Row],[CANTIDAD DE REPUESTOS]]*($C$53)*($H$53+$J$53+$L$53))</f>
        <v>1839372.3</v>
      </c>
      <c r="G81" s="9">
        <f>Tabla94[[#This Row],[COSTO DE COMPRA REPUESTOS]]+Tabla94[[#This Row],[COSTO DE ALMACENAMIENTO]]+Tabla94[[#This Row],[COSTO DE TRANSPORTE]]+Tabla94[[#This Row],[COSTOS DE IMPUESTOS Y OBSOLECENCIA]]</f>
        <v>16676975.52</v>
      </c>
      <c r="H81" s="30"/>
      <c r="I81" s="30"/>
      <c r="J81" s="30"/>
      <c r="K81" s="30"/>
      <c r="L81" s="30"/>
      <c r="M81" s="30"/>
      <c r="N81" s="41"/>
    </row>
    <row r="82" spans="2:14" x14ac:dyDescent="0.3">
      <c r="B82" s="14">
        <f t="shared" si="2"/>
        <v>28</v>
      </c>
      <c r="C82" s="9">
        <f>IF(Tabla94[[#This Row],[CANTIDAD DE REPUESTOS]]&lt;=B38,Tabla94[[#This Row],[CANTIDAD DE REPUESTOS]]*$C$53,Tabla94[[#This Row],[CANTIDAD DE REPUESTOS]]*$C$53)</f>
        <v>12716648</v>
      </c>
      <c r="D82" s="9">
        <f>IF(Tabla94[[#This Row],[CANTIDAD DE REPUESTOS]]&lt;=B38,$C$53*$F$53*Tabla94[[#This Row],[CANTIDAD DE REPUESTOS]],$C$53*$F$53*Tabla94[[#This Row],[CANTIDAD DE REPUESTOS]])</f>
        <v>762998.88</v>
      </c>
      <c r="E82" s="9">
        <f>IF(Tabla94[[#This Row],[CANTIDAD DE REPUESTOS]]&lt;=B38,$C$53*$N$53*Tabla94[[#This Row],[CANTIDAD DE REPUESTOS]],$C$53*$N$53*Tabla94[[#This Row],[CANTIDAD DE REPUESTOS]])</f>
        <v>1907497.1999999997</v>
      </c>
      <c r="F82" s="9">
        <f>IF(Tabla94[[#This Row],[CANTIDAD DE REPUESTOS]]&lt;=B38,Tabla94[[#This Row],[CANTIDAD DE REPUESTOS]]*($C$53)*($H$53+$J$53+$L$53),Tabla94[[#This Row],[CANTIDAD DE REPUESTOS]]*($C$53)*($H$53+$J$53+$L$53))</f>
        <v>1907497.2</v>
      </c>
      <c r="G82" s="9">
        <f>Tabla94[[#This Row],[COSTO DE COMPRA REPUESTOS]]+Tabla94[[#This Row],[COSTO DE ALMACENAMIENTO]]+Tabla94[[#This Row],[COSTO DE TRANSPORTE]]+Tabla94[[#This Row],[COSTOS DE IMPUESTOS Y OBSOLECENCIA]]</f>
        <v>17294641.280000001</v>
      </c>
      <c r="H82" s="30"/>
      <c r="I82" s="30"/>
      <c r="J82" s="30"/>
      <c r="K82" s="30"/>
      <c r="L82" s="30"/>
      <c r="M82" s="30"/>
      <c r="N82" s="41"/>
    </row>
    <row r="83" spans="2:14" x14ac:dyDescent="0.3">
      <c r="B83" s="14">
        <f t="shared" si="2"/>
        <v>29</v>
      </c>
      <c r="C83" s="9">
        <f>IF(Tabla94[[#This Row],[CANTIDAD DE REPUESTOS]]&lt;=B39,Tabla94[[#This Row],[CANTIDAD DE REPUESTOS]]*$C$53,Tabla94[[#This Row],[CANTIDAD DE REPUESTOS]]*$C$53)</f>
        <v>13170814</v>
      </c>
      <c r="D83" s="9">
        <f>IF(Tabla94[[#This Row],[CANTIDAD DE REPUESTOS]]&lt;=B39,$C$53*$F$53*Tabla94[[#This Row],[CANTIDAD DE REPUESTOS]],$C$53*$F$53*Tabla94[[#This Row],[CANTIDAD DE REPUESTOS]])</f>
        <v>790248.84</v>
      </c>
      <c r="E83" s="9">
        <f>IF(Tabla94[[#This Row],[CANTIDAD DE REPUESTOS]]&lt;=B39,$C$53*$N$53*Tabla94[[#This Row],[CANTIDAD DE REPUESTOS]],$C$53*$N$53*Tabla94[[#This Row],[CANTIDAD DE REPUESTOS]])</f>
        <v>1975622.0999999999</v>
      </c>
      <c r="F83" s="9">
        <f>IF(Tabla94[[#This Row],[CANTIDAD DE REPUESTOS]]&lt;=B39,Tabla94[[#This Row],[CANTIDAD DE REPUESTOS]]*($C$53)*($H$53+$J$53+$L$53),Tabla94[[#This Row],[CANTIDAD DE REPUESTOS]]*($C$53)*($H$53+$J$53+$L$53))</f>
        <v>1975622.0999999999</v>
      </c>
      <c r="G83" s="9">
        <f>Tabla94[[#This Row],[COSTO DE COMPRA REPUESTOS]]+Tabla94[[#This Row],[COSTO DE ALMACENAMIENTO]]+Tabla94[[#This Row],[COSTO DE TRANSPORTE]]+Tabla94[[#This Row],[COSTOS DE IMPUESTOS Y OBSOLECENCIA]]</f>
        <v>17912307.039999999</v>
      </c>
      <c r="H83" s="30"/>
      <c r="I83" s="30"/>
      <c r="J83" s="30"/>
      <c r="K83" s="30"/>
      <c r="L83" s="30"/>
      <c r="M83" s="30"/>
      <c r="N83" s="41"/>
    </row>
    <row r="84" spans="2:14" x14ac:dyDescent="0.3">
      <c r="B84" s="14">
        <f t="shared" si="2"/>
        <v>30</v>
      </c>
      <c r="C84" s="9">
        <f>IF(Tabla94[[#This Row],[CANTIDAD DE REPUESTOS]]&lt;=B40,Tabla94[[#This Row],[CANTIDAD DE REPUESTOS]]*$C$53,Tabla94[[#This Row],[CANTIDAD DE REPUESTOS]]*$C$53)</f>
        <v>13624980</v>
      </c>
      <c r="D84" s="9">
        <f>IF(Tabla94[[#This Row],[CANTIDAD DE REPUESTOS]]&lt;=B40,$C$53*$F$53*Tabla94[[#This Row],[CANTIDAD DE REPUESTOS]],$C$53*$F$53*Tabla94[[#This Row],[CANTIDAD DE REPUESTOS]])</f>
        <v>817498.79999999993</v>
      </c>
      <c r="E84" s="9">
        <f>IF(Tabla94[[#This Row],[CANTIDAD DE REPUESTOS]]&lt;=B40,$C$53*$N$53*Tabla94[[#This Row],[CANTIDAD DE REPUESTOS]],$C$53*$N$53*Tabla94[[#This Row],[CANTIDAD DE REPUESTOS]])</f>
        <v>2043746.9999999998</v>
      </c>
      <c r="F84" s="9">
        <f>IF(Tabla94[[#This Row],[CANTIDAD DE REPUESTOS]]&lt;=B40,Tabla94[[#This Row],[CANTIDAD DE REPUESTOS]]*($C$53)*($H$53+$J$53+$L$53),Tabla94[[#This Row],[CANTIDAD DE REPUESTOS]]*($C$53)*($H$53+$J$53+$L$53))</f>
        <v>2043747</v>
      </c>
      <c r="G84" s="9">
        <f>Tabla94[[#This Row],[COSTO DE COMPRA REPUESTOS]]+Tabla94[[#This Row],[COSTO DE ALMACENAMIENTO]]+Tabla94[[#This Row],[COSTO DE TRANSPORTE]]+Tabla94[[#This Row],[COSTOS DE IMPUESTOS Y OBSOLECENCIA]]</f>
        <v>18529972.800000001</v>
      </c>
      <c r="H84" s="30"/>
      <c r="I84" s="30"/>
      <c r="J84" s="30"/>
      <c r="K84" s="30"/>
      <c r="L84" s="30"/>
      <c r="M84" s="30"/>
      <c r="N84" s="41"/>
    </row>
    <row r="85" spans="2:14" x14ac:dyDescent="0.3">
      <c r="B85" s="14">
        <f t="shared" si="2"/>
        <v>31</v>
      </c>
      <c r="C85" s="9">
        <f>IF(Tabla94[[#This Row],[CANTIDAD DE REPUESTOS]]&lt;=B41,Tabla94[[#This Row],[CANTIDAD DE REPUESTOS]]*$C$53,Tabla94[[#This Row],[CANTIDAD DE REPUESTOS]]*$C$53)</f>
        <v>14079146</v>
      </c>
      <c r="D85" s="9">
        <f>IF(Tabla94[[#This Row],[CANTIDAD DE REPUESTOS]]&lt;=B41,$C$53*$F$53*Tabla94[[#This Row],[CANTIDAD DE REPUESTOS]],$C$53*$F$53*Tabla94[[#This Row],[CANTIDAD DE REPUESTOS]])</f>
        <v>844748.76</v>
      </c>
      <c r="E85" s="9">
        <f>IF(Tabla94[[#This Row],[CANTIDAD DE REPUESTOS]]&lt;=B41,$C$53*$N$53*Tabla94[[#This Row],[CANTIDAD DE REPUESTOS]],$C$53*$N$53*Tabla94[[#This Row],[CANTIDAD DE REPUESTOS]])</f>
        <v>2111871.9</v>
      </c>
      <c r="F85" s="9">
        <f>IF(Tabla94[[#This Row],[CANTIDAD DE REPUESTOS]]&lt;=B41,Tabla94[[#This Row],[CANTIDAD DE REPUESTOS]]*($C$53)*($H$53+$J$53+$L$53),Tabla94[[#This Row],[CANTIDAD DE REPUESTOS]]*($C$53)*($H$53+$J$53+$L$53))</f>
        <v>2111871.9</v>
      </c>
      <c r="G85" s="9">
        <f>Tabla94[[#This Row],[COSTO DE COMPRA REPUESTOS]]+Tabla94[[#This Row],[COSTO DE ALMACENAMIENTO]]+Tabla94[[#This Row],[COSTO DE TRANSPORTE]]+Tabla94[[#This Row],[COSTOS DE IMPUESTOS Y OBSOLECENCIA]]</f>
        <v>19147638.559999999</v>
      </c>
      <c r="H85" s="30"/>
      <c r="I85" s="30"/>
      <c r="J85" s="30"/>
      <c r="K85" s="30"/>
      <c r="L85" s="30"/>
      <c r="M85" s="30"/>
      <c r="N85" s="41"/>
    </row>
    <row r="86" spans="2:14" x14ac:dyDescent="0.3">
      <c r="B86" s="14">
        <f t="shared" si="2"/>
        <v>32</v>
      </c>
      <c r="C86" s="9">
        <f>IF(Tabla94[[#This Row],[CANTIDAD DE REPUESTOS]]&lt;=B42,Tabla94[[#This Row],[CANTIDAD DE REPUESTOS]]*$C$53,Tabla94[[#This Row],[CANTIDAD DE REPUESTOS]]*$C$53)</f>
        <v>14533312</v>
      </c>
      <c r="D86" s="9">
        <f>IF(Tabla94[[#This Row],[CANTIDAD DE REPUESTOS]]&lt;=B42,$C$53*$F$53*Tabla94[[#This Row],[CANTIDAD DE REPUESTOS]],$C$53*$F$53*Tabla94[[#This Row],[CANTIDAD DE REPUESTOS]])</f>
        <v>871998.72</v>
      </c>
      <c r="E86" s="9">
        <f>IF(Tabla94[[#This Row],[CANTIDAD DE REPUESTOS]]&lt;=B42,$C$53*$N$53*Tabla94[[#This Row],[CANTIDAD DE REPUESTOS]],$C$53*$N$53*Tabla94[[#This Row],[CANTIDAD DE REPUESTOS]])</f>
        <v>2179996.7999999998</v>
      </c>
      <c r="F86" s="9">
        <f>IF(Tabla94[[#This Row],[CANTIDAD DE REPUESTOS]]&lt;=B42,Tabla94[[#This Row],[CANTIDAD DE REPUESTOS]]*($C$53)*($H$53+$J$53+$L$53),Tabla94[[#This Row],[CANTIDAD DE REPUESTOS]]*($C$53)*($H$53+$J$53+$L$53))</f>
        <v>2179996.7999999998</v>
      </c>
      <c r="G86" s="9">
        <f>Tabla94[[#This Row],[COSTO DE COMPRA REPUESTOS]]+Tabla94[[#This Row],[COSTO DE ALMACENAMIENTO]]+Tabla94[[#This Row],[COSTO DE TRANSPORTE]]+Tabla94[[#This Row],[COSTOS DE IMPUESTOS Y OBSOLECENCIA]]</f>
        <v>19765304.32</v>
      </c>
      <c r="H86" s="30"/>
      <c r="I86" s="30"/>
      <c r="J86" s="30"/>
      <c r="K86" s="30"/>
      <c r="L86" s="30"/>
      <c r="M86" s="30"/>
      <c r="N86" s="41"/>
    </row>
    <row r="87" spans="2:14" x14ac:dyDescent="0.3">
      <c r="B87" s="14">
        <f t="shared" si="2"/>
        <v>33</v>
      </c>
      <c r="C87" s="9">
        <f>IF(Tabla94[[#This Row],[CANTIDAD DE REPUESTOS]]&lt;=B43,Tabla94[[#This Row],[CANTIDAD DE REPUESTOS]]*$C$53,Tabla94[[#This Row],[CANTIDAD DE REPUESTOS]]*$C$53)</f>
        <v>14987478</v>
      </c>
      <c r="D87" s="9">
        <f>IF(Tabla94[[#This Row],[CANTIDAD DE REPUESTOS]]&lt;=B43,$C$53*$F$53*Tabla94[[#This Row],[CANTIDAD DE REPUESTOS]],$C$53*$F$53*Tabla94[[#This Row],[CANTIDAD DE REPUESTOS]])</f>
        <v>899248.67999999993</v>
      </c>
      <c r="E87" s="9">
        <f>IF(Tabla94[[#This Row],[CANTIDAD DE REPUESTOS]]&lt;=B43,$C$53*$N$53*Tabla94[[#This Row],[CANTIDAD DE REPUESTOS]],$C$53*$N$53*Tabla94[[#This Row],[CANTIDAD DE REPUESTOS]])</f>
        <v>2248121.6999999997</v>
      </c>
      <c r="F87" s="9">
        <f>IF(Tabla94[[#This Row],[CANTIDAD DE REPUESTOS]]&lt;=B43,Tabla94[[#This Row],[CANTIDAD DE REPUESTOS]]*($C$53)*($H$53+$J$53+$L$53),Tabla94[[#This Row],[CANTIDAD DE REPUESTOS]]*($C$53)*($H$53+$J$53+$L$53))</f>
        <v>2248121.6999999997</v>
      </c>
      <c r="G87" s="9">
        <f>Tabla94[[#This Row],[COSTO DE COMPRA REPUESTOS]]+Tabla94[[#This Row],[COSTO DE ALMACENAMIENTO]]+Tabla94[[#This Row],[COSTO DE TRANSPORTE]]+Tabla94[[#This Row],[COSTOS DE IMPUESTOS Y OBSOLECENCIA]]</f>
        <v>20382970.079999998</v>
      </c>
      <c r="H87" s="30"/>
      <c r="I87" s="30"/>
      <c r="J87" s="30"/>
      <c r="K87" s="30"/>
      <c r="L87" s="30"/>
      <c r="M87" s="30"/>
      <c r="N87" s="41"/>
    </row>
    <row r="88" spans="2:14" x14ac:dyDescent="0.3">
      <c r="B88" s="14">
        <f t="shared" si="2"/>
        <v>34</v>
      </c>
      <c r="C88" s="9">
        <f>IF(Tabla94[[#This Row],[CANTIDAD DE REPUESTOS]]&lt;=B44,Tabla94[[#This Row],[CANTIDAD DE REPUESTOS]]*$C$53,Tabla94[[#This Row],[CANTIDAD DE REPUESTOS]]*$C$53)</f>
        <v>15441644</v>
      </c>
      <c r="D88" s="9">
        <f>IF(Tabla94[[#This Row],[CANTIDAD DE REPUESTOS]]&lt;=B44,$C$53*$F$53*Tabla94[[#This Row],[CANTIDAD DE REPUESTOS]],$C$53*$F$53*Tabla94[[#This Row],[CANTIDAD DE REPUESTOS]])</f>
        <v>926498.64</v>
      </c>
      <c r="E88" s="9">
        <f>IF(Tabla94[[#This Row],[CANTIDAD DE REPUESTOS]]&lt;=B44,$C$53*$N$53*Tabla94[[#This Row],[CANTIDAD DE REPUESTOS]],$C$53*$N$53*Tabla94[[#This Row],[CANTIDAD DE REPUESTOS]])</f>
        <v>2316246.5999999996</v>
      </c>
      <c r="F88" s="9">
        <f>IF(Tabla94[[#This Row],[CANTIDAD DE REPUESTOS]]&lt;=B44,Tabla94[[#This Row],[CANTIDAD DE REPUESTOS]]*($C$53)*($H$53+$J$53+$L$53),Tabla94[[#This Row],[CANTIDAD DE REPUESTOS]]*($C$53)*($H$53+$J$53+$L$53))</f>
        <v>2316246.6</v>
      </c>
      <c r="G88" s="9">
        <f>Tabla94[[#This Row],[COSTO DE COMPRA REPUESTOS]]+Tabla94[[#This Row],[COSTO DE ALMACENAMIENTO]]+Tabla94[[#This Row],[COSTO DE TRANSPORTE]]+Tabla94[[#This Row],[COSTOS DE IMPUESTOS Y OBSOLECENCIA]]</f>
        <v>21000635.840000004</v>
      </c>
      <c r="H88" s="30"/>
      <c r="I88" s="30"/>
      <c r="J88" s="30"/>
      <c r="K88" s="30"/>
      <c r="L88" s="30"/>
      <c r="M88" s="30"/>
      <c r="N88" s="41"/>
    </row>
    <row r="89" spans="2:14" x14ac:dyDescent="0.3">
      <c r="B89" s="14">
        <f t="shared" si="2"/>
        <v>35</v>
      </c>
      <c r="C89" s="9">
        <f>IF(Tabla94[[#This Row],[CANTIDAD DE REPUESTOS]]&lt;=B45,Tabla94[[#This Row],[CANTIDAD DE REPUESTOS]]*$C$53,Tabla94[[#This Row],[CANTIDAD DE REPUESTOS]]*$C$53)</f>
        <v>15895810</v>
      </c>
      <c r="D89" s="9">
        <f>IF(Tabla94[[#This Row],[CANTIDAD DE REPUESTOS]]&lt;=B45,$C$53*$F$53*Tabla94[[#This Row],[CANTIDAD DE REPUESTOS]],$C$53*$F$53*Tabla94[[#This Row],[CANTIDAD DE REPUESTOS]])</f>
        <v>953748.6</v>
      </c>
      <c r="E89" s="9">
        <f>IF(Tabla94[[#This Row],[CANTIDAD DE REPUESTOS]]&lt;=B45,$C$53*$N$53*Tabla94[[#This Row],[CANTIDAD DE REPUESTOS]],$C$53*$N$53*Tabla94[[#This Row],[CANTIDAD DE REPUESTOS]])</f>
        <v>2384371.5</v>
      </c>
      <c r="F89" s="9">
        <f>IF(Tabla94[[#This Row],[CANTIDAD DE REPUESTOS]]&lt;=B45,Tabla94[[#This Row],[CANTIDAD DE REPUESTOS]]*($C$53)*($H$53+$J$53+$L$53),Tabla94[[#This Row],[CANTIDAD DE REPUESTOS]]*($C$53)*($H$53+$J$53+$L$53))</f>
        <v>2384371.5</v>
      </c>
      <c r="G89" s="9">
        <f>Tabla94[[#This Row],[COSTO DE COMPRA REPUESTOS]]+Tabla94[[#This Row],[COSTO DE ALMACENAMIENTO]]+Tabla94[[#This Row],[COSTO DE TRANSPORTE]]+Tabla94[[#This Row],[COSTOS DE IMPUESTOS Y OBSOLECENCIA]]</f>
        <v>21618301.600000001</v>
      </c>
      <c r="H89" s="30"/>
      <c r="I89" s="30"/>
      <c r="J89" s="30"/>
      <c r="K89" s="30"/>
      <c r="L89" s="30"/>
      <c r="M89" s="30"/>
      <c r="N89" s="41"/>
    </row>
    <row r="90" spans="2:14" x14ac:dyDescent="0.3">
      <c r="B90" s="14">
        <f>B89+1</f>
        <v>36</v>
      </c>
      <c r="C90" s="9">
        <f>IF(Tabla94[[#This Row],[CANTIDAD DE REPUESTOS]]&lt;=B46,Tabla94[[#This Row],[CANTIDAD DE REPUESTOS]]*$C$53,Tabla94[[#This Row],[CANTIDAD DE REPUESTOS]]*$C$53)</f>
        <v>16349976</v>
      </c>
      <c r="D90" s="9">
        <f>IF(Tabla94[[#This Row],[CANTIDAD DE REPUESTOS]]&lt;=B46,$C$53*$F$53*Tabla94[[#This Row],[CANTIDAD DE REPUESTOS]],$C$53*$F$53*Tabla94[[#This Row],[CANTIDAD DE REPUESTOS]])</f>
        <v>980998.55999999994</v>
      </c>
      <c r="E90" s="9">
        <f>IF(Tabla94[[#This Row],[CANTIDAD DE REPUESTOS]]&lt;=B46,$C$53*$N$53*Tabla94[[#This Row],[CANTIDAD DE REPUESTOS]],$C$53*$N$53*Tabla94[[#This Row],[CANTIDAD DE REPUESTOS]])</f>
        <v>2452496.4</v>
      </c>
      <c r="F90" s="9">
        <f>IF(Tabla94[[#This Row],[CANTIDAD DE REPUESTOS]]&lt;=B46,Tabla94[[#This Row],[CANTIDAD DE REPUESTOS]]*($C$53)*($H$53+$J$53+$L$53),Tabla94[[#This Row],[CANTIDAD DE REPUESTOS]]*($C$53)*($H$53+$J$53+$L$53))</f>
        <v>2452496.4</v>
      </c>
      <c r="G90" s="9">
        <f>Tabla94[[#This Row],[COSTO DE COMPRA REPUESTOS]]+Tabla94[[#This Row],[COSTO DE ALMACENAMIENTO]]+Tabla94[[#This Row],[COSTO DE TRANSPORTE]]+Tabla94[[#This Row],[COSTOS DE IMPUESTOS Y OBSOLECENCIA]]</f>
        <v>22235967.359999996</v>
      </c>
      <c r="H90" s="30"/>
      <c r="I90" s="30"/>
      <c r="J90" s="30"/>
      <c r="K90" s="30"/>
      <c r="L90" s="30"/>
      <c r="M90" s="30"/>
      <c r="N90" s="41"/>
    </row>
    <row r="91" spans="2:14" x14ac:dyDescent="0.3">
      <c r="B91" s="14">
        <f t="shared" si="2"/>
        <v>37</v>
      </c>
      <c r="C91" s="9">
        <f>IF(Tabla94[[#This Row],[CANTIDAD DE REPUESTOS]]&lt;=B47,Tabla94[[#This Row],[CANTIDAD DE REPUESTOS]]*$C$53,Tabla94[[#This Row],[CANTIDAD DE REPUESTOS]]*$C$53)</f>
        <v>16804142</v>
      </c>
      <c r="D91" s="9">
        <f>IF(Tabla94[[#This Row],[CANTIDAD DE REPUESTOS]]&lt;=B47,$C$53*$F$53*Tabla94[[#This Row],[CANTIDAD DE REPUESTOS]],$C$53*$F$53*Tabla94[[#This Row],[CANTIDAD DE REPUESTOS]])</f>
        <v>1008248.52</v>
      </c>
      <c r="E91" s="9">
        <f>IF(Tabla94[[#This Row],[CANTIDAD DE REPUESTOS]]&lt;=B47,$C$53*$N$53*Tabla94[[#This Row],[CANTIDAD DE REPUESTOS]],$C$53*$N$53*Tabla94[[#This Row],[CANTIDAD DE REPUESTOS]])</f>
        <v>2520621.2999999998</v>
      </c>
      <c r="F91" s="9">
        <f>IF(Tabla94[[#This Row],[CANTIDAD DE REPUESTOS]]&lt;=B47,Tabla94[[#This Row],[CANTIDAD DE REPUESTOS]]*($C$53)*($H$53+$J$53+$L$53),Tabla94[[#This Row],[CANTIDAD DE REPUESTOS]]*($C$53)*($H$53+$J$53+$L$53))</f>
        <v>2520621.2999999998</v>
      </c>
      <c r="G91" s="9">
        <f>Tabla94[[#This Row],[COSTO DE COMPRA REPUESTOS]]+Tabla94[[#This Row],[COSTO DE ALMACENAMIENTO]]+Tabla94[[#This Row],[COSTO DE TRANSPORTE]]+Tabla94[[#This Row],[COSTOS DE IMPUESTOS Y OBSOLECENCIA]]</f>
        <v>22853633.120000001</v>
      </c>
      <c r="H91" s="30"/>
      <c r="I91" s="30"/>
      <c r="J91" s="30"/>
      <c r="K91" s="30"/>
      <c r="L91" s="30"/>
      <c r="M91" s="30"/>
      <c r="N91" s="41"/>
    </row>
    <row r="92" spans="2:14" x14ac:dyDescent="0.3">
      <c r="B92" s="14">
        <f t="shared" si="2"/>
        <v>38</v>
      </c>
      <c r="C92" s="9">
        <f>IF(Tabla94[[#This Row],[CANTIDAD DE REPUESTOS]]&lt;=B48,Tabla94[[#This Row],[CANTIDAD DE REPUESTOS]]*$C$53,Tabla94[[#This Row],[CANTIDAD DE REPUESTOS]]*$C$53)</f>
        <v>17258308</v>
      </c>
      <c r="D92" s="9">
        <f>IF(Tabla94[[#This Row],[CANTIDAD DE REPUESTOS]]&lt;=B48,$C$53*$F$53*Tabla94[[#This Row],[CANTIDAD DE REPUESTOS]],$C$53*$F$53*Tabla94[[#This Row],[CANTIDAD DE REPUESTOS]])</f>
        <v>1035498.48</v>
      </c>
      <c r="E92" s="9">
        <f>IF(Tabla94[[#This Row],[CANTIDAD DE REPUESTOS]]&lt;=B48,$C$53*$N$53*Tabla94[[#This Row],[CANTIDAD DE REPUESTOS]],$C$53*$N$53*Tabla94[[#This Row],[CANTIDAD DE REPUESTOS]])</f>
        <v>2588746.1999999997</v>
      </c>
      <c r="F92" s="9">
        <f>IF(Tabla94[[#This Row],[CANTIDAD DE REPUESTOS]]&lt;=B48,Tabla94[[#This Row],[CANTIDAD DE REPUESTOS]]*($C$53)*($H$53+$J$53+$L$53),Tabla94[[#This Row],[CANTIDAD DE REPUESTOS]]*($C$53)*($H$53+$J$53+$L$53))</f>
        <v>2588746.1999999997</v>
      </c>
      <c r="G92" s="9">
        <f>Tabla94[[#This Row],[COSTO DE COMPRA REPUESTOS]]+Tabla94[[#This Row],[COSTO DE ALMACENAMIENTO]]+Tabla94[[#This Row],[COSTO DE TRANSPORTE]]+Tabla94[[#This Row],[COSTOS DE IMPUESTOS Y OBSOLECENCIA]]</f>
        <v>23471298.879999999</v>
      </c>
      <c r="H92" s="30"/>
      <c r="I92" s="30"/>
      <c r="J92" s="30"/>
      <c r="K92" s="30"/>
      <c r="L92" s="30"/>
      <c r="M92" s="30"/>
      <c r="N92" s="41"/>
    </row>
    <row r="93" spans="2:14" x14ac:dyDescent="0.3">
      <c r="B93" s="14">
        <f t="shared" si="2"/>
        <v>39</v>
      </c>
      <c r="C93" s="9">
        <f>IF(Tabla94[[#This Row],[CANTIDAD DE REPUESTOS]]&lt;=B49,Tabla94[[#This Row],[CANTIDAD DE REPUESTOS]]*$C$53,Tabla94[[#This Row],[CANTIDAD DE REPUESTOS]]*$C$53)</f>
        <v>17712474</v>
      </c>
      <c r="D93" s="9">
        <f>IF(Tabla94[[#This Row],[CANTIDAD DE REPUESTOS]]&lt;=B49,$C$53*$F$53*Tabla94[[#This Row],[CANTIDAD DE REPUESTOS]],$C$53*$F$53*Tabla94[[#This Row],[CANTIDAD DE REPUESTOS]])</f>
        <v>1062748.44</v>
      </c>
      <c r="E93" s="9">
        <f>IF(Tabla94[[#This Row],[CANTIDAD DE REPUESTOS]]&lt;=B49,$C$53*$N$53*Tabla94[[#This Row],[CANTIDAD DE REPUESTOS]],$C$53*$N$53*Tabla94[[#This Row],[CANTIDAD DE REPUESTOS]])</f>
        <v>2656871.0999999996</v>
      </c>
      <c r="F93" s="9">
        <f>IF(Tabla94[[#This Row],[CANTIDAD DE REPUESTOS]]&lt;=B49,Tabla94[[#This Row],[CANTIDAD DE REPUESTOS]]*($C$53)*($H$53+$J$53+$L$53),Tabla94[[#This Row],[CANTIDAD DE REPUESTOS]]*($C$53)*($H$53+$J$53+$L$53))</f>
        <v>2656871.1</v>
      </c>
      <c r="G93" s="9">
        <f>Tabla94[[#This Row],[COSTO DE COMPRA REPUESTOS]]+Tabla94[[#This Row],[COSTO DE ALMACENAMIENTO]]+Tabla94[[#This Row],[COSTO DE TRANSPORTE]]+Tabla94[[#This Row],[COSTOS DE IMPUESTOS Y OBSOLECENCIA]]</f>
        <v>24088964.640000001</v>
      </c>
      <c r="H93" s="30"/>
      <c r="I93" s="30"/>
      <c r="J93" s="30"/>
      <c r="K93" s="30"/>
      <c r="L93" s="30"/>
      <c r="M93" s="30"/>
      <c r="N93" s="41"/>
    </row>
    <row r="94" spans="2:14" x14ac:dyDescent="0.3">
      <c r="B94" s="14">
        <f>B93+1</f>
        <v>40</v>
      </c>
      <c r="C94" s="9">
        <f>IF(Tabla94[[#This Row],[CANTIDAD DE REPUESTOS]]&lt;=B50,Tabla94[[#This Row],[CANTIDAD DE REPUESTOS]]*$C$53,Tabla94[[#This Row],[CANTIDAD DE REPUESTOS]]*$C$53)</f>
        <v>18166640</v>
      </c>
      <c r="D94" s="9">
        <f>IF(Tabla94[[#This Row],[CANTIDAD DE REPUESTOS]]&lt;=B50,$C$53*$F$53*Tabla94[[#This Row],[CANTIDAD DE REPUESTOS]],$C$53*$F$53*Tabla94[[#This Row],[CANTIDAD DE REPUESTOS]])</f>
        <v>1089998.3999999999</v>
      </c>
      <c r="E94" s="9">
        <f>IF(Tabla94[[#This Row],[CANTIDAD DE REPUESTOS]]&lt;=B50,$C$53*$N$53*Tabla94[[#This Row],[CANTIDAD DE REPUESTOS]],$C$53*$N$53*Tabla94[[#This Row],[CANTIDAD DE REPUESTOS]])</f>
        <v>2724996</v>
      </c>
      <c r="F94" s="9">
        <f>IF(Tabla94[[#This Row],[CANTIDAD DE REPUESTOS]]&lt;=B50,Tabla94[[#This Row],[CANTIDAD DE REPUESTOS]]*($C$53)*($H$53+$J$53+$L$53),Tabla94[[#This Row],[CANTIDAD DE REPUESTOS]]*($C$53)*($H$53+$J$53+$L$53))</f>
        <v>2724996</v>
      </c>
      <c r="G94" s="9">
        <f>Tabla94[[#This Row],[COSTO DE COMPRA REPUESTOS]]+Tabla94[[#This Row],[COSTO DE ALMACENAMIENTO]]+Tabla94[[#This Row],[COSTO DE TRANSPORTE]]+Tabla94[[#This Row],[COSTOS DE IMPUESTOS Y OBSOLECENCIA]]</f>
        <v>24706630.399999999</v>
      </c>
      <c r="H94" s="30"/>
      <c r="I94" s="30"/>
      <c r="J94" s="30"/>
      <c r="K94" s="30"/>
      <c r="L94" s="30"/>
      <c r="M94" s="30"/>
      <c r="N94" s="41"/>
    </row>
    <row r="95" spans="2:14" ht="21" x14ac:dyDescent="0.3">
      <c r="B95" s="42" t="s">
        <v>54</v>
      </c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4"/>
    </row>
    <row r="96" spans="2:14" ht="105" customHeight="1" x14ac:dyDescent="0.3">
      <c r="B96" s="45" t="s">
        <v>55</v>
      </c>
      <c r="C96" s="46"/>
      <c r="D96" s="46"/>
      <c r="E96" s="17" t="s">
        <v>37</v>
      </c>
      <c r="F96" s="18" t="s">
        <v>41</v>
      </c>
      <c r="G96" s="19" t="s">
        <v>57</v>
      </c>
      <c r="H96" s="30"/>
      <c r="I96" s="30"/>
      <c r="J96" s="30"/>
      <c r="K96" s="30"/>
      <c r="L96" s="30"/>
      <c r="M96" s="30"/>
      <c r="N96" s="41"/>
    </row>
    <row r="97" spans="2:19" x14ac:dyDescent="0.3">
      <c r="B97" s="47" t="s">
        <v>56</v>
      </c>
      <c r="C97" s="48"/>
      <c r="D97" s="48"/>
      <c r="E97" s="10">
        <v>1</v>
      </c>
      <c r="F97" s="3">
        <f>IF(E97&lt;=B11,100-G11,100-G11)</f>
        <v>78.885285101205099</v>
      </c>
      <c r="G97" s="16">
        <f>IF(E97&lt;=B11,(F97/100)*($D$115+$D$125+$D$133+$D$135),(F97/100)*($D$115+$D$125+$D$133+$D$135))</f>
        <v>9561527.636546867</v>
      </c>
      <c r="H97" s="30"/>
      <c r="I97" s="30"/>
      <c r="J97" s="30"/>
      <c r="K97" s="30"/>
      <c r="L97" s="30"/>
      <c r="M97" s="30"/>
      <c r="N97" s="41"/>
      <c r="R97">
        <v>1</v>
      </c>
      <c r="S97" s="11">
        <f>G55+G97</f>
        <v>10179193.396546867</v>
      </c>
    </row>
    <row r="98" spans="2:19" x14ac:dyDescent="0.3">
      <c r="B98" s="47"/>
      <c r="C98" s="48"/>
      <c r="D98" s="48"/>
      <c r="E98" s="10">
        <f>E97+1</f>
        <v>2</v>
      </c>
      <c r="F98" s="3">
        <f t="shared" ref="F98:F136" si="3">IF(E98&lt;=B12,100-G12,100-G12)</f>
        <v>46.047680490599284</v>
      </c>
      <c r="G98" s="16">
        <f t="shared" ref="G98:G136" si="4">IF(E98&lt;=B12,(F98/100)*($D$115+$D$125+$D$133+$D$135),(F98/100)*($D$115+$D$125+$D$133+$D$135))</f>
        <v>5581347.2569045583</v>
      </c>
      <c r="H98" s="30"/>
      <c r="I98" s="30"/>
      <c r="J98" s="30"/>
      <c r="K98" s="30"/>
      <c r="L98" s="30"/>
      <c r="M98" s="30"/>
      <c r="N98" s="41"/>
      <c r="R98">
        <f>R97+1</f>
        <v>2</v>
      </c>
      <c r="S98" s="11">
        <f t="shared" ref="S98:S136" si="5">G56+G98</f>
        <v>6816678.7769045588</v>
      </c>
    </row>
    <row r="99" spans="2:19" x14ac:dyDescent="0.3">
      <c r="B99" s="47" t="s">
        <v>42</v>
      </c>
      <c r="C99" s="48"/>
      <c r="D99" s="36">
        <v>10000</v>
      </c>
      <c r="E99" s="10">
        <f t="shared" ref="E99:E136" si="6">E98+1</f>
        <v>3</v>
      </c>
      <c r="F99" s="3">
        <f t="shared" si="3"/>
        <v>20.513159145392152</v>
      </c>
      <c r="G99" s="16">
        <f t="shared" si="4"/>
        <v>2486358.9936946919</v>
      </c>
      <c r="H99" s="30"/>
      <c r="I99" s="30"/>
      <c r="J99" s="30"/>
      <c r="K99" s="30"/>
      <c r="L99" s="30"/>
      <c r="M99" s="30"/>
      <c r="N99" s="41"/>
      <c r="R99">
        <f t="shared" ref="R99:R136" si="7">R98+1</f>
        <v>3</v>
      </c>
      <c r="S99" s="11">
        <f t="shared" si="5"/>
        <v>4339356.2736946922</v>
      </c>
    </row>
    <row r="100" spans="2:19" x14ac:dyDescent="0.3">
      <c r="B100" s="47"/>
      <c r="C100" s="48"/>
      <c r="D100" s="36"/>
      <c r="E100" s="10">
        <f t="shared" si="6"/>
        <v>4</v>
      </c>
      <c r="F100" s="3">
        <f t="shared" si="3"/>
        <v>7.2760632800368086</v>
      </c>
      <c r="G100" s="16">
        <f t="shared" si="4"/>
        <v>881917.0780467015</v>
      </c>
      <c r="H100" s="30"/>
      <c r="I100" s="30"/>
      <c r="J100" s="30"/>
      <c r="K100" s="30"/>
      <c r="L100" s="30"/>
      <c r="M100" s="30"/>
      <c r="N100" s="41"/>
      <c r="R100">
        <f t="shared" si="7"/>
        <v>4</v>
      </c>
      <c r="S100" s="11">
        <f t="shared" si="5"/>
        <v>3352580.1180467014</v>
      </c>
    </row>
    <row r="101" spans="2:19" x14ac:dyDescent="0.3">
      <c r="B101" s="45" t="s">
        <v>43</v>
      </c>
      <c r="C101" s="46"/>
      <c r="D101" s="40">
        <v>2000</v>
      </c>
      <c r="E101" s="10">
        <f t="shared" si="6"/>
        <v>5</v>
      </c>
      <c r="F101" s="3">
        <f t="shared" si="3"/>
        <v>2.1294804075866409</v>
      </c>
      <c r="G101" s="16">
        <f t="shared" si="4"/>
        <v>258110.06124276159</v>
      </c>
      <c r="H101" s="30"/>
      <c r="I101" s="30"/>
      <c r="J101" s="30"/>
      <c r="K101" s="30"/>
      <c r="L101" s="30"/>
      <c r="M101" s="30"/>
      <c r="N101" s="41"/>
      <c r="R101">
        <f t="shared" si="7"/>
        <v>5</v>
      </c>
      <c r="S101" s="11">
        <f t="shared" si="5"/>
        <v>3346438.8612427614</v>
      </c>
    </row>
    <row r="102" spans="2:19" x14ac:dyDescent="0.3">
      <c r="B102" s="45"/>
      <c r="C102" s="46"/>
      <c r="D102" s="40"/>
      <c r="E102" s="10">
        <f t="shared" si="6"/>
        <v>6</v>
      </c>
      <c r="F102" s="3">
        <f t="shared" si="3"/>
        <v>0.52868727093974144</v>
      </c>
      <c r="G102" s="16">
        <f t="shared" si="4"/>
        <v>64081.126736064187</v>
      </c>
      <c r="H102" s="30"/>
      <c r="I102" s="30"/>
      <c r="J102" s="30"/>
      <c r="K102" s="30"/>
      <c r="L102" s="30"/>
      <c r="M102" s="30"/>
      <c r="N102" s="41"/>
      <c r="R102">
        <f t="shared" si="7"/>
        <v>6</v>
      </c>
      <c r="S102" s="11">
        <f t="shared" si="5"/>
        <v>3770075.6867360636</v>
      </c>
    </row>
    <row r="103" spans="2:19" x14ac:dyDescent="0.3">
      <c r="B103" s="29" t="s">
        <v>44</v>
      </c>
      <c r="C103" s="30"/>
      <c r="D103" s="40">
        <v>3</v>
      </c>
      <c r="E103" s="10">
        <f t="shared" si="6"/>
        <v>7</v>
      </c>
      <c r="F103" s="3">
        <f t="shared" si="3"/>
        <v>0.11376168992086377</v>
      </c>
      <c r="G103" s="16">
        <f t="shared" si="4"/>
        <v>13788.826911928058</v>
      </c>
      <c r="H103" s="30"/>
      <c r="I103" s="30"/>
      <c r="J103" s="30"/>
      <c r="K103" s="30"/>
      <c r="L103" s="30"/>
      <c r="M103" s="30"/>
      <c r="N103" s="41"/>
      <c r="R103">
        <f t="shared" si="7"/>
        <v>7</v>
      </c>
      <c r="S103" s="11">
        <f t="shared" si="5"/>
        <v>4337449.1469119284</v>
      </c>
    </row>
    <row r="104" spans="2:19" x14ac:dyDescent="0.3">
      <c r="B104" s="29"/>
      <c r="C104" s="30"/>
      <c r="D104" s="40"/>
      <c r="E104" s="10">
        <f t="shared" si="6"/>
        <v>8</v>
      </c>
      <c r="F104" s="3">
        <f t="shared" si="3"/>
        <v>2.1577080835072593E-2</v>
      </c>
      <c r="G104" s="16">
        <f t="shared" si="4"/>
        <v>2615.3148138574788</v>
      </c>
      <c r="H104" s="30"/>
      <c r="I104" s="30"/>
      <c r="J104" s="30"/>
      <c r="K104" s="30"/>
      <c r="L104" s="30"/>
      <c r="M104" s="30"/>
      <c r="N104" s="41"/>
      <c r="R104">
        <f t="shared" si="7"/>
        <v>8</v>
      </c>
      <c r="S104" s="11">
        <f t="shared" si="5"/>
        <v>4943941.394813858</v>
      </c>
    </row>
    <row r="105" spans="2:19" x14ac:dyDescent="0.3">
      <c r="B105" s="29" t="s">
        <v>16</v>
      </c>
      <c r="C105" s="30"/>
      <c r="D105" s="30">
        <f>E7</f>
        <v>1.2E-5</v>
      </c>
      <c r="E105" s="10">
        <f t="shared" si="6"/>
        <v>9</v>
      </c>
      <c r="F105" s="3">
        <f t="shared" si="3"/>
        <v>3.6563928288018133E-3</v>
      </c>
      <c r="G105" s="16">
        <f t="shared" si="4"/>
        <v>443.18406199341018</v>
      </c>
      <c r="H105" s="30"/>
      <c r="I105" s="30"/>
      <c r="J105" s="30"/>
      <c r="K105" s="30"/>
      <c r="L105" s="30"/>
      <c r="M105" s="30"/>
      <c r="N105" s="41"/>
      <c r="R105">
        <f t="shared" si="7"/>
        <v>9</v>
      </c>
      <c r="S105" s="11">
        <f t="shared" si="5"/>
        <v>5559435.0240619928</v>
      </c>
    </row>
    <row r="106" spans="2:19" x14ac:dyDescent="0.3">
      <c r="B106" s="29"/>
      <c r="C106" s="30"/>
      <c r="D106" s="30"/>
      <c r="E106" s="10">
        <f t="shared" si="6"/>
        <v>10</v>
      </c>
      <c r="F106" s="3">
        <f t="shared" si="3"/>
        <v>5.5969794129850925E-4</v>
      </c>
      <c r="G106" s="16">
        <f t="shared" si="4"/>
        <v>67.839868068909709</v>
      </c>
      <c r="H106" s="30"/>
      <c r="I106" s="30"/>
      <c r="J106" s="30"/>
      <c r="K106" s="30"/>
      <c r="L106" s="30"/>
      <c r="M106" s="30"/>
      <c r="N106" s="41"/>
      <c r="R106">
        <f t="shared" si="7"/>
        <v>10</v>
      </c>
      <c r="S106" s="11">
        <f t="shared" si="5"/>
        <v>6176725.4398680683</v>
      </c>
    </row>
    <row r="107" spans="2:19" x14ac:dyDescent="0.3">
      <c r="B107" s="29" t="s">
        <v>45</v>
      </c>
      <c r="C107" s="30"/>
      <c r="D107" s="30">
        <f>C7*30*24</f>
        <v>8640</v>
      </c>
      <c r="E107" s="10">
        <f t="shared" si="6"/>
        <v>11</v>
      </c>
      <c r="F107" s="3">
        <f t="shared" si="3"/>
        <v>7.8099952403931638E-5</v>
      </c>
      <c r="G107" s="16">
        <f t="shared" si="4"/>
        <v>9.466339030975746</v>
      </c>
      <c r="H107" s="30"/>
      <c r="I107" s="30"/>
      <c r="J107" s="30"/>
      <c r="K107" s="30"/>
      <c r="L107" s="30"/>
      <c r="M107" s="30"/>
      <c r="N107" s="41"/>
      <c r="R107">
        <f t="shared" si="7"/>
        <v>11</v>
      </c>
      <c r="S107" s="11">
        <f t="shared" si="5"/>
        <v>6794332.8263390306</v>
      </c>
    </row>
    <row r="108" spans="2:19" x14ac:dyDescent="0.3">
      <c r="B108" s="29"/>
      <c r="C108" s="30"/>
      <c r="D108" s="30"/>
      <c r="E108" s="10">
        <f t="shared" si="6"/>
        <v>12</v>
      </c>
      <c r="F108" s="3">
        <f t="shared" si="3"/>
        <v>1.0010753101141745E-5</v>
      </c>
      <c r="G108" s="16">
        <f t="shared" si="4"/>
        <v>1.2133833618831886</v>
      </c>
      <c r="H108" s="30"/>
      <c r="I108" s="30"/>
      <c r="J108" s="30"/>
      <c r="K108" s="30"/>
      <c r="L108" s="30"/>
      <c r="M108" s="30"/>
      <c r="N108" s="41"/>
      <c r="R108">
        <f t="shared" si="7"/>
        <v>12</v>
      </c>
      <c r="S108" s="11">
        <f t="shared" si="5"/>
        <v>7411990.3333833609</v>
      </c>
    </row>
    <row r="109" spans="2:19" x14ac:dyDescent="0.3">
      <c r="B109" s="29" t="s">
        <v>46</v>
      </c>
      <c r="C109" s="30"/>
      <c r="D109" s="30">
        <f>D105*D107</f>
        <v>0.10368000000000001</v>
      </c>
      <c r="E109" s="10">
        <f t="shared" si="6"/>
        <v>13</v>
      </c>
      <c r="F109" s="3">
        <f t="shared" si="3"/>
        <v>1.1863928790489808E-6</v>
      </c>
      <c r="G109" s="16">
        <f t="shared" si="4"/>
        <v>0.14380030808376887</v>
      </c>
      <c r="H109" s="30"/>
      <c r="I109" s="30"/>
      <c r="J109" s="30"/>
      <c r="K109" s="30"/>
      <c r="L109" s="30"/>
      <c r="M109" s="30"/>
      <c r="N109" s="41"/>
      <c r="R109">
        <f t="shared" si="7"/>
        <v>13</v>
      </c>
      <c r="S109" s="11">
        <f t="shared" si="5"/>
        <v>8029655.0238003088</v>
      </c>
    </row>
    <row r="110" spans="2:19" x14ac:dyDescent="0.3">
      <c r="B110" s="29"/>
      <c r="C110" s="30"/>
      <c r="D110" s="30"/>
      <c r="E110" s="10">
        <f t="shared" si="6"/>
        <v>14</v>
      </c>
      <c r="F110" s="3">
        <f t="shared" si="3"/>
        <v>1.307278694184788E-7</v>
      </c>
      <c r="G110" s="16">
        <f t="shared" si="4"/>
        <v>1.5845263596474979E-2</v>
      </c>
      <c r="H110" s="30"/>
      <c r="I110" s="30"/>
      <c r="J110" s="30"/>
      <c r="K110" s="30"/>
      <c r="L110" s="30"/>
      <c r="M110" s="30"/>
      <c r="N110" s="41"/>
      <c r="R110">
        <f t="shared" si="7"/>
        <v>14</v>
      </c>
      <c r="S110" s="11">
        <f t="shared" si="5"/>
        <v>8647320.655845264</v>
      </c>
    </row>
    <row r="111" spans="2:19" x14ac:dyDescent="0.3">
      <c r="B111" s="29" t="s">
        <v>47</v>
      </c>
      <c r="C111" s="30"/>
      <c r="D111" s="40">
        <v>2</v>
      </c>
      <c r="E111" s="10">
        <f t="shared" si="6"/>
        <v>15</v>
      </c>
      <c r="F111" s="3">
        <f t="shared" si="3"/>
        <v>1.345856048828864E-8</v>
      </c>
      <c r="G111" s="16">
        <f t="shared" si="4"/>
        <v>1.6312851996644897E-3</v>
      </c>
      <c r="H111" s="30"/>
      <c r="I111" s="30"/>
      <c r="J111" s="30"/>
      <c r="K111" s="30"/>
      <c r="L111" s="30"/>
      <c r="M111" s="30"/>
      <c r="N111" s="41"/>
      <c r="R111">
        <f t="shared" si="7"/>
        <v>15</v>
      </c>
      <c r="S111" s="11">
        <f t="shared" si="5"/>
        <v>9264986.4016312864</v>
      </c>
    </row>
    <row r="112" spans="2:19" x14ac:dyDescent="0.3">
      <c r="B112" s="29"/>
      <c r="C112" s="30"/>
      <c r="D112" s="40"/>
      <c r="E112" s="10">
        <f t="shared" si="6"/>
        <v>16</v>
      </c>
      <c r="F112" s="3">
        <f t="shared" si="3"/>
        <v>1.3000942544749705E-9</v>
      </c>
      <c r="G112" s="16">
        <f t="shared" si="4"/>
        <v>1.5758182439640223E-4</v>
      </c>
      <c r="H112" s="30"/>
      <c r="I112" s="30"/>
      <c r="J112" s="30"/>
      <c r="K112" s="30"/>
      <c r="L112" s="30"/>
      <c r="M112" s="30"/>
      <c r="N112" s="41"/>
      <c r="R112">
        <f t="shared" si="7"/>
        <v>16</v>
      </c>
      <c r="S112" s="11">
        <f t="shared" si="5"/>
        <v>9882652.1601575818</v>
      </c>
    </row>
    <row r="113" spans="2:19" x14ac:dyDescent="0.3">
      <c r="B113" s="29" t="s">
        <v>48</v>
      </c>
      <c r="C113" s="30"/>
      <c r="D113" s="36">
        <v>200000</v>
      </c>
      <c r="E113" s="10">
        <f t="shared" si="6"/>
        <v>17</v>
      </c>
      <c r="F113" s="3">
        <f t="shared" si="3"/>
        <v>0</v>
      </c>
      <c r="G113" s="16">
        <f t="shared" si="4"/>
        <v>0</v>
      </c>
      <c r="H113" s="30"/>
      <c r="I113" s="30"/>
      <c r="J113" s="30"/>
      <c r="K113" s="30"/>
      <c r="L113" s="30"/>
      <c r="M113" s="30"/>
      <c r="N113" s="41"/>
      <c r="R113">
        <f t="shared" si="7"/>
        <v>17</v>
      </c>
      <c r="S113" s="11">
        <f t="shared" si="5"/>
        <v>10500317.920000002</v>
      </c>
    </row>
    <row r="114" spans="2:19" x14ac:dyDescent="0.3">
      <c r="B114" s="29"/>
      <c r="C114" s="30"/>
      <c r="D114" s="36"/>
      <c r="E114" s="10">
        <f t="shared" si="6"/>
        <v>18</v>
      </c>
      <c r="F114" s="3">
        <f t="shared" si="3"/>
        <v>0</v>
      </c>
      <c r="G114" s="16">
        <f t="shared" si="4"/>
        <v>0</v>
      </c>
      <c r="H114" s="30"/>
      <c r="I114" s="30"/>
      <c r="J114" s="30"/>
      <c r="K114" s="30"/>
      <c r="L114" s="30"/>
      <c r="M114" s="30"/>
      <c r="N114" s="41"/>
      <c r="R114">
        <f t="shared" si="7"/>
        <v>18</v>
      </c>
      <c r="S114" s="11">
        <f t="shared" si="5"/>
        <v>11117983.679999998</v>
      </c>
    </row>
    <row r="115" spans="2:19" x14ac:dyDescent="0.3">
      <c r="B115" s="31" t="s">
        <v>58</v>
      </c>
      <c r="C115" s="32"/>
      <c r="D115" s="35">
        <f>(D99*D101*D103*D109)+(D111*D113)</f>
        <v>6620800.0000000009</v>
      </c>
      <c r="E115" s="10">
        <f t="shared" si="6"/>
        <v>19</v>
      </c>
      <c r="F115" s="3">
        <f t="shared" si="3"/>
        <v>0</v>
      </c>
      <c r="G115" s="16">
        <f t="shared" si="4"/>
        <v>0</v>
      </c>
      <c r="H115" s="30"/>
      <c r="I115" s="30"/>
      <c r="J115" s="30"/>
      <c r="K115" s="30"/>
      <c r="L115" s="30"/>
      <c r="M115" s="30"/>
      <c r="N115" s="41"/>
      <c r="R115">
        <f t="shared" si="7"/>
        <v>19</v>
      </c>
      <c r="S115" s="11">
        <f t="shared" si="5"/>
        <v>11735649.439999999</v>
      </c>
    </row>
    <row r="116" spans="2:19" x14ac:dyDescent="0.3">
      <c r="B116" s="31"/>
      <c r="C116" s="32"/>
      <c r="D116" s="35"/>
      <c r="E116" s="10">
        <f t="shared" si="6"/>
        <v>20</v>
      </c>
      <c r="F116" s="3">
        <f t="shared" si="3"/>
        <v>0</v>
      </c>
      <c r="G116" s="16">
        <f t="shared" si="4"/>
        <v>0</v>
      </c>
      <c r="H116" s="30"/>
      <c r="I116" s="30"/>
      <c r="J116" s="30"/>
      <c r="K116" s="30"/>
      <c r="L116" s="30"/>
      <c r="M116" s="30"/>
      <c r="N116" s="41"/>
      <c r="R116">
        <f t="shared" si="7"/>
        <v>20</v>
      </c>
      <c r="S116" s="11">
        <f t="shared" si="5"/>
        <v>12353315.199999999</v>
      </c>
    </row>
    <row r="117" spans="2:19" x14ac:dyDescent="0.3">
      <c r="B117" s="29" t="s">
        <v>59</v>
      </c>
      <c r="C117" s="30"/>
      <c r="D117" s="30"/>
      <c r="E117" s="10">
        <f t="shared" si="6"/>
        <v>21</v>
      </c>
      <c r="F117" s="3">
        <f t="shared" si="3"/>
        <v>0</v>
      </c>
      <c r="G117" s="16">
        <f t="shared" si="4"/>
        <v>0</v>
      </c>
      <c r="H117" s="30"/>
      <c r="I117" s="30"/>
      <c r="J117" s="30"/>
      <c r="K117" s="30"/>
      <c r="L117" s="30"/>
      <c r="M117" s="30"/>
      <c r="N117" s="41"/>
      <c r="R117">
        <f t="shared" si="7"/>
        <v>21</v>
      </c>
      <c r="S117" s="11">
        <f t="shared" si="5"/>
        <v>12970980.960000001</v>
      </c>
    </row>
    <row r="118" spans="2:19" x14ac:dyDescent="0.3">
      <c r="B118" s="29"/>
      <c r="C118" s="30"/>
      <c r="D118" s="30"/>
      <c r="E118" s="10">
        <f t="shared" si="6"/>
        <v>22</v>
      </c>
      <c r="F118" s="3">
        <f t="shared" si="3"/>
        <v>0</v>
      </c>
      <c r="G118" s="16">
        <f t="shared" si="4"/>
        <v>0</v>
      </c>
      <c r="H118" s="30"/>
      <c r="I118" s="30"/>
      <c r="J118" s="30"/>
      <c r="K118" s="30"/>
      <c r="L118" s="30"/>
      <c r="M118" s="30"/>
      <c r="N118" s="41"/>
      <c r="R118">
        <f t="shared" si="7"/>
        <v>22</v>
      </c>
      <c r="S118" s="11">
        <f t="shared" si="5"/>
        <v>13588646.719999999</v>
      </c>
    </row>
    <row r="119" spans="2:19" x14ac:dyDescent="0.3">
      <c r="B119" s="38" t="s">
        <v>49</v>
      </c>
      <c r="C119" s="39"/>
      <c r="D119" s="36">
        <v>200000</v>
      </c>
      <c r="E119" s="10">
        <f t="shared" si="6"/>
        <v>23</v>
      </c>
      <c r="F119" s="3">
        <f t="shared" si="3"/>
        <v>0</v>
      </c>
      <c r="G119" s="16">
        <f t="shared" si="4"/>
        <v>0</v>
      </c>
      <c r="H119" s="30"/>
      <c r="I119" s="30"/>
      <c r="J119" s="30"/>
      <c r="K119" s="30"/>
      <c r="L119" s="30"/>
      <c r="M119" s="30"/>
      <c r="N119" s="41"/>
      <c r="R119">
        <f t="shared" si="7"/>
        <v>23</v>
      </c>
      <c r="S119" s="11">
        <f t="shared" si="5"/>
        <v>14206312.479999999</v>
      </c>
    </row>
    <row r="120" spans="2:19" x14ac:dyDescent="0.3">
      <c r="B120" s="38"/>
      <c r="C120" s="39"/>
      <c r="D120" s="36"/>
      <c r="E120" s="10">
        <f t="shared" si="6"/>
        <v>24</v>
      </c>
      <c r="F120" s="3">
        <f t="shared" si="3"/>
        <v>0</v>
      </c>
      <c r="G120" s="16">
        <f t="shared" si="4"/>
        <v>0</v>
      </c>
      <c r="H120" s="30"/>
      <c r="I120" s="30"/>
      <c r="J120" s="30"/>
      <c r="K120" s="30"/>
      <c r="L120" s="30"/>
      <c r="M120" s="30"/>
      <c r="N120" s="41"/>
      <c r="R120">
        <f t="shared" si="7"/>
        <v>24</v>
      </c>
      <c r="S120" s="11">
        <f t="shared" si="5"/>
        <v>14823978.239999998</v>
      </c>
    </row>
    <row r="121" spans="2:19" x14ac:dyDescent="0.3">
      <c r="B121" s="38" t="s">
        <v>50</v>
      </c>
      <c r="C121" s="39"/>
      <c r="D121" s="36">
        <v>1000000</v>
      </c>
      <c r="E121" s="10">
        <f t="shared" si="6"/>
        <v>25</v>
      </c>
      <c r="F121" s="3">
        <f t="shared" si="3"/>
        <v>0</v>
      </c>
      <c r="G121" s="16">
        <f t="shared" si="4"/>
        <v>0</v>
      </c>
      <c r="H121" s="30"/>
      <c r="I121" s="30"/>
      <c r="J121" s="30"/>
      <c r="K121" s="30"/>
      <c r="L121" s="30"/>
      <c r="M121" s="30"/>
      <c r="N121" s="41"/>
      <c r="R121">
        <f t="shared" si="7"/>
        <v>25</v>
      </c>
      <c r="S121" s="11">
        <f t="shared" si="5"/>
        <v>15441644</v>
      </c>
    </row>
    <row r="122" spans="2:19" x14ac:dyDescent="0.3">
      <c r="B122" s="38"/>
      <c r="C122" s="39"/>
      <c r="D122" s="36"/>
      <c r="E122" s="10">
        <f t="shared" si="6"/>
        <v>26</v>
      </c>
      <c r="F122" s="3">
        <f t="shared" si="3"/>
        <v>0</v>
      </c>
      <c r="G122" s="16">
        <f t="shared" si="4"/>
        <v>0</v>
      </c>
      <c r="H122" s="30"/>
      <c r="I122" s="30"/>
      <c r="J122" s="30"/>
      <c r="K122" s="30"/>
      <c r="L122" s="30"/>
      <c r="M122" s="30"/>
      <c r="N122" s="41"/>
      <c r="R122">
        <f t="shared" si="7"/>
        <v>26</v>
      </c>
      <c r="S122" s="11">
        <f t="shared" si="5"/>
        <v>16059309.760000002</v>
      </c>
    </row>
    <row r="123" spans="2:19" x14ac:dyDescent="0.3">
      <c r="B123" s="38" t="s">
        <v>51</v>
      </c>
      <c r="C123" s="39"/>
      <c r="D123" s="36">
        <v>100000</v>
      </c>
      <c r="E123" s="10">
        <f t="shared" si="6"/>
        <v>27</v>
      </c>
      <c r="F123" s="3">
        <f t="shared" si="3"/>
        <v>0</v>
      </c>
      <c r="G123" s="16">
        <f t="shared" si="4"/>
        <v>0</v>
      </c>
      <c r="H123" s="30"/>
      <c r="I123" s="30"/>
      <c r="J123" s="30"/>
      <c r="K123" s="30"/>
      <c r="L123" s="30"/>
      <c r="M123" s="30"/>
      <c r="N123" s="41"/>
      <c r="R123">
        <f t="shared" si="7"/>
        <v>27</v>
      </c>
      <c r="S123" s="11">
        <f t="shared" si="5"/>
        <v>16676975.52</v>
      </c>
    </row>
    <row r="124" spans="2:19" x14ac:dyDescent="0.3">
      <c r="B124" s="38"/>
      <c r="C124" s="39"/>
      <c r="D124" s="36"/>
      <c r="E124" s="10">
        <f t="shared" si="6"/>
        <v>28</v>
      </c>
      <c r="F124" s="3">
        <f t="shared" si="3"/>
        <v>0</v>
      </c>
      <c r="G124" s="16">
        <f t="shared" si="4"/>
        <v>0</v>
      </c>
      <c r="H124" s="30"/>
      <c r="I124" s="30"/>
      <c r="J124" s="30"/>
      <c r="K124" s="30"/>
      <c r="L124" s="30"/>
      <c r="M124" s="30"/>
      <c r="N124" s="41"/>
      <c r="R124">
        <f t="shared" si="7"/>
        <v>28</v>
      </c>
      <c r="S124" s="11">
        <f t="shared" si="5"/>
        <v>17294641.280000001</v>
      </c>
    </row>
    <row r="125" spans="2:19" x14ac:dyDescent="0.3">
      <c r="B125" s="31" t="s">
        <v>60</v>
      </c>
      <c r="C125" s="32"/>
      <c r="D125" s="35">
        <f>D119+D121+D123</f>
        <v>1300000</v>
      </c>
      <c r="E125" s="10">
        <f t="shared" si="6"/>
        <v>29</v>
      </c>
      <c r="F125" s="3">
        <f t="shared" si="3"/>
        <v>0</v>
      </c>
      <c r="G125" s="16">
        <f t="shared" si="4"/>
        <v>0</v>
      </c>
      <c r="H125" s="30"/>
      <c r="I125" s="30"/>
      <c r="J125" s="30"/>
      <c r="K125" s="30"/>
      <c r="L125" s="30"/>
      <c r="M125" s="30"/>
      <c r="N125" s="41"/>
      <c r="R125">
        <f t="shared" si="7"/>
        <v>29</v>
      </c>
      <c r="S125" s="11">
        <f t="shared" si="5"/>
        <v>17912307.039999999</v>
      </c>
    </row>
    <row r="126" spans="2:19" x14ac:dyDescent="0.3">
      <c r="B126" s="31"/>
      <c r="C126" s="32"/>
      <c r="D126" s="35"/>
      <c r="E126" s="10">
        <f t="shared" si="6"/>
        <v>30</v>
      </c>
      <c r="F126" s="3">
        <f t="shared" si="3"/>
        <v>0</v>
      </c>
      <c r="G126" s="16">
        <f t="shared" si="4"/>
        <v>0</v>
      </c>
      <c r="H126" s="30"/>
      <c r="I126" s="30"/>
      <c r="J126" s="30"/>
      <c r="K126" s="30"/>
      <c r="L126" s="30"/>
      <c r="M126" s="30"/>
      <c r="N126" s="41"/>
      <c r="R126">
        <f t="shared" si="7"/>
        <v>30</v>
      </c>
      <c r="S126" s="11">
        <f t="shared" si="5"/>
        <v>18529972.800000001</v>
      </c>
    </row>
    <row r="127" spans="2:19" x14ac:dyDescent="0.3">
      <c r="B127" s="29" t="s">
        <v>61</v>
      </c>
      <c r="C127" s="30"/>
      <c r="D127" s="30"/>
      <c r="E127" s="10">
        <f t="shared" si="6"/>
        <v>31</v>
      </c>
      <c r="F127" s="3">
        <f t="shared" si="3"/>
        <v>0</v>
      </c>
      <c r="G127" s="16">
        <f t="shared" si="4"/>
        <v>0</v>
      </c>
      <c r="H127" s="30"/>
      <c r="I127" s="30"/>
      <c r="J127" s="30"/>
      <c r="K127" s="30"/>
      <c r="L127" s="30"/>
      <c r="M127" s="30"/>
      <c r="N127" s="41"/>
      <c r="R127">
        <f t="shared" si="7"/>
        <v>31</v>
      </c>
      <c r="S127" s="11">
        <f t="shared" si="5"/>
        <v>19147638.559999999</v>
      </c>
    </row>
    <row r="128" spans="2:19" x14ac:dyDescent="0.3">
      <c r="B128" s="29"/>
      <c r="C128" s="30"/>
      <c r="D128" s="30"/>
      <c r="E128" s="10">
        <f t="shared" si="6"/>
        <v>32</v>
      </c>
      <c r="F128" s="3">
        <f t="shared" si="3"/>
        <v>0</v>
      </c>
      <c r="G128" s="16">
        <f t="shared" si="4"/>
        <v>0</v>
      </c>
      <c r="H128" s="30"/>
      <c r="I128" s="30"/>
      <c r="J128" s="30"/>
      <c r="K128" s="30"/>
      <c r="L128" s="30"/>
      <c r="M128" s="30"/>
      <c r="N128" s="41"/>
      <c r="R128">
        <f t="shared" si="7"/>
        <v>32</v>
      </c>
      <c r="S128" s="11">
        <f t="shared" si="5"/>
        <v>19765304.32</v>
      </c>
    </row>
    <row r="129" spans="2:19" x14ac:dyDescent="0.3">
      <c r="B129" s="29" t="s">
        <v>52</v>
      </c>
      <c r="C129" s="30"/>
      <c r="D129" s="36">
        <v>200000</v>
      </c>
      <c r="E129" s="10">
        <f t="shared" si="6"/>
        <v>33</v>
      </c>
      <c r="F129" s="3">
        <f t="shared" si="3"/>
        <v>0</v>
      </c>
      <c r="G129" s="16">
        <f t="shared" si="4"/>
        <v>0</v>
      </c>
      <c r="H129" s="30"/>
      <c r="I129" s="30"/>
      <c r="J129" s="30"/>
      <c r="K129" s="30"/>
      <c r="L129" s="30"/>
      <c r="M129" s="30"/>
      <c r="N129" s="41"/>
      <c r="R129">
        <f t="shared" si="7"/>
        <v>33</v>
      </c>
      <c r="S129" s="11">
        <f t="shared" si="5"/>
        <v>20382970.079999998</v>
      </c>
    </row>
    <row r="130" spans="2:19" x14ac:dyDescent="0.3">
      <c r="B130" s="29"/>
      <c r="C130" s="30"/>
      <c r="D130" s="36"/>
      <c r="E130" s="10">
        <f t="shared" si="6"/>
        <v>34</v>
      </c>
      <c r="F130" s="3">
        <f t="shared" si="3"/>
        <v>0</v>
      </c>
      <c r="G130" s="16">
        <f t="shared" si="4"/>
        <v>0</v>
      </c>
      <c r="H130" s="30"/>
      <c r="I130" s="30"/>
      <c r="J130" s="30"/>
      <c r="K130" s="30"/>
      <c r="L130" s="30"/>
      <c r="M130" s="30"/>
      <c r="N130" s="41"/>
      <c r="R130">
        <f t="shared" si="7"/>
        <v>34</v>
      </c>
      <c r="S130" s="11">
        <f t="shared" si="5"/>
        <v>21000635.840000004</v>
      </c>
    </row>
    <row r="131" spans="2:19" x14ac:dyDescent="0.3">
      <c r="B131" s="29" t="s">
        <v>53</v>
      </c>
      <c r="C131" s="30"/>
      <c r="D131" s="36">
        <v>1000000</v>
      </c>
      <c r="E131" s="10">
        <f t="shared" si="6"/>
        <v>35</v>
      </c>
      <c r="F131" s="3">
        <f t="shared" si="3"/>
        <v>0</v>
      </c>
      <c r="G131" s="16">
        <f t="shared" si="4"/>
        <v>0</v>
      </c>
      <c r="H131" s="30"/>
      <c r="I131" s="30"/>
      <c r="J131" s="30"/>
      <c r="K131" s="30"/>
      <c r="L131" s="30"/>
      <c r="M131" s="30"/>
      <c r="N131" s="41"/>
      <c r="R131">
        <f t="shared" si="7"/>
        <v>35</v>
      </c>
      <c r="S131" s="11">
        <f t="shared" si="5"/>
        <v>21618301.600000001</v>
      </c>
    </row>
    <row r="132" spans="2:19" x14ac:dyDescent="0.3">
      <c r="B132" s="29"/>
      <c r="C132" s="30"/>
      <c r="D132" s="36"/>
      <c r="E132" s="10">
        <f t="shared" si="6"/>
        <v>36</v>
      </c>
      <c r="F132" s="3">
        <f t="shared" si="3"/>
        <v>0</v>
      </c>
      <c r="G132" s="16">
        <f t="shared" si="4"/>
        <v>0</v>
      </c>
      <c r="H132" s="30"/>
      <c r="I132" s="30"/>
      <c r="J132" s="30"/>
      <c r="K132" s="30"/>
      <c r="L132" s="30"/>
      <c r="M132" s="30"/>
      <c r="N132" s="41"/>
      <c r="R132">
        <f t="shared" si="7"/>
        <v>36</v>
      </c>
      <c r="S132" s="11">
        <f t="shared" si="5"/>
        <v>22235967.359999996</v>
      </c>
    </row>
    <row r="133" spans="2:19" x14ac:dyDescent="0.3">
      <c r="B133" s="31" t="s">
        <v>62</v>
      </c>
      <c r="C133" s="32"/>
      <c r="D133" s="37">
        <f>D129+D131</f>
        <v>1200000</v>
      </c>
      <c r="E133" s="10">
        <f t="shared" si="6"/>
        <v>37</v>
      </c>
      <c r="F133" s="3">
        <f t="shared" si="3"/>
        <v>0</v>
      </c>
      <c r="G133" s="16">
        <f t="shared" si="4"/>
        <v>0</v>
      </c>
      <c r="H133" s="30"/>
      <c r="I133" s="30"/>
      <c r="J133" s="30"/>
      <c r="K133" s="30"/>
      <c r="L133" s="30"/>
      <c r="M133" s="30"/>
      <c r="N133" s="41"/>
      <c r="R133">
        <f t="shared" si="7"/>
        <v>37</v>
      </c>
      <c r="S133" s="11">
        <f>G91+G133</f>
        <v>22853633.120000001</v>
      </c>
    </row>
    <row r="134" spans="2:19" x14ac:dyDescent="0.3">
      <c r="B134" s="31"/>
      <c r="C134" s="32"/>
      <c r="D134" s="37"/>
      <c r="E134" s="10">
        <f t="shared" si="6"/>
        <v>38</v>
      </c>
      <c r="F134" s="3">
        <f t="shared" si="3"/>
        <v>0</v>
      </c>
      <c r="G134" s="16">
        <f t="shared" si="4"/>
        <v>0</v>
      </c>
      <c r="H134" s="30"/>
      <c r="I134" s="30"/>
      <c r="J134" s="30"/>
      <c r="K134" s="30"/>
      <c r="L134" s="30"/>
      <c r="M134" s="30"/>
      <c r="N134" s="41"/>
      <c r="R134">
        <f t="shared" si="7"/>
        <v>38</v>
      </c>
      <c r="S134" s="11">
        <f>G92+G134</f>
        <v>23471298.879999999</v>
      </c>
    </row>
    <row r="135" spans="2:19" x14ac:dyDescent="0.3">
      <c r="B135" s="33" t="s">
        <v>63</v>
      </c>
      <c r="C135" s="34"/>
      <c r="D135" s="35">
        <v>3000000</v>
      </c>
      <c r="E135" s="10">
        <f t="shared" si="6"/>
        <v>39</v>
      </c>
      <c r="F135" s="3">
        <f t="shared" si="3"/>
        <v>0</v>
      </c>
      <c r="G135" s="16">
        <f t="shared" si="4"/>
        <v>0</v>
      </c>
      <c r="H135" s="30"/>
      <c r="I135" s="30"/>
      <c r="J135" s="30"/>
      <c r="K135" s="30"/>
      <c r="L135" s="30"/>
      <c r="M135" s="30"/>
      <c r="N135" s="41"/>
      <c r="R135">
        <f t="shared" si="7"/>
        <v>39</v>
      </c>
      <c r="S135" s="11">
        <f t="shared" si="5"/>
        <v>24088964.640000001</v>
      </c>
    </row>
    <row r="136" spans="2:19" x14ac:dyDescent="0.3">
      <c r="B136" s="33"/>
      <c r="C136" s="34"/>
      <c r="D136" s="35"/>
      <c r="E136" s="20">
        <f t="shared" si="6"/>
        <v>40</v>
      </c>
      <c r="F136" s="21">
        <f t="shared" si="3"/>
        <v>0</v>
      </c>
      <c r="G136" s="22">
        <f t="shared" si="4"/>
        <v>0</v>
      </c>
      <c r="H136" s="30"/>
      <c r="I136" s="30"/>
      <c r="J136" s="30"/>
      <c r="K136" s="30"/>
      <c r="L136" s="30"/>
      <c r="M136" s="30"/>
      <c r="N136" s="41"/>
      <c r="R136">
        <f t="shared" si="7"/>
        <v>40</v>
      </c>
      <c r="S136" s="11">
        <f t="shared" si="5"/>
        <v>24706630.399999999</v>
      </c>
    </row>
    <row r="137" spans="2:19" ht="21" x14ac:dyDescent="0.4">
      <c r="B137" s="50" t="s">
        <v>64</v>
      </c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2"/>
    </row>
    <row r="138" spans="2:19" x14ac:dyDescent="0.3">
      <c r="B138" s="29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41"/>
    </row>
    <row r="139" spans="2:19" x14ac:dyDescent="0.3">
      <c r="B139" s="29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41"/>
    </row>
    <row r="140" spans="2:19" x14ac:dyDescent="0.3">
      <c r="B140" s="29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41"/>
    </row>
    <row r="141" spans="2:19" x14ac:dyDescent="0.3">
      <c r="B141" s="29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41"/>
    </row>
    <row r="142" spans="2:19" x14ac:dyDescent="0.3">
      <c r="B142" s="29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41"/>
    </row>
    <row r="143" spans="2:19" x14ac:dyDescent="0.3">
      <c r="B143" s="29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41"/>
    </row>
    <row r="144" spans="2:19" x14ac:dyDescent="0.3">
      <c r="B144" s="29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41"/>
    </row>
    <row r="145" spans="2:14" x14ac:dyDescent="0.3">
      <c r="B145" s="29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41"/>
    </row>
    <row r="146" spans="2:14" x14ac:dyDescent="0.3">
      <c r="B146" s="29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41"/>
    </row>
    <row r="147" spans="2:14" x14ac:dyDescent="0.3">
      <c r="B147" s="29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41"/>
    </row>
    <row r="148" spans="2:14" x14ac:dyDescent="0.3">
      <c r="B148" s="29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41"/>
    </row>
    <row r="149" spans="2:14" x14ac:dyDescent="0.3">
      <c r="B149" s="29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41"/>
    </row>
    <row r="150" spans="2:14" x14ac:dyDescent="0.3">
      <c r="B150" s="29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41"/>
    </row>
    <row r="151" spans="2:14" x14ac:dyDescent="0.3">
      <c r="B151" s="29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41"/>
    </row>
    <row r="152" spans="2:14" x14ac:dyDescent="0.3">
      <c r="B152" s="29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41"/>
    </row>
    <row r="153" spans="2:14" x14ac:dyDescent="0.3">
      <c r="B153" s="29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41"/>
    </row>
    <row r="154" spans="2:14" x14ac:dyDescent="0.3">
      <c r="B154" s="29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41"/>
    </row>
    <row r="155" spans="2:14" x14ac:dyDescent="0.3">
      <c r="B155" s="29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41"/>
    </row>
    <row r="156" spans="2:14" x14ac:dyDescent="0.3">
      <c r="B156" s="29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41"/>
    </row>
    <row r="157" spans="2:14" x14ac:dyDescent="0.3">
      <c r="B157" s="29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41"/>
    </row>
    <row r="158" spans="2:14" x14ac:dyDescent="0.3">
      <c r="B158" s="29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41"/>
    </row>
    <row r="159" spans="2:14" x14ac:dyDescent="0.3">
      <c r="B159" s="29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41"/>
    </row>
    <row r="160" spans="2:14" x14ac:dyDescent="0.3">
      <c r="B160" s="29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41"/>
    </row>
    <row r="161" spans="2:14" x14ac:dyDescent="0.3">
      <c r="B161" s="29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41"/>
    </row>
    <row r="162" spans="2:14" x14ac:dyDescent="0.3">
      <c r="B162" s="29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41"/>
    </row>
    <row r="163" spans="2:14" x14ac:dyDescent="0.3">
      <c r="B163" s="29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41"/>
    </row>
    <row r="164" spans="2:14" x14ac:dyDescent="0.3">
      <c r="B164" s="29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41"/>
    </row>
    <row r="165" spans="2:14" x14ac:dyDescent="0.3">
      <c r="B165" s="29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41"/>
    </row>
    <row r="166" spans="2:14" x14ac:dyDescent="0.3">
      <c r="B166" s="29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41"/>
    </row>
    <row r="167" spans="2:14" x14ac:dyDescent="0.3">
      <c r="B167" s="29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41"/>
    </row>
    <row r="168" spans="2:14" x14ac:dyDescent="0.3">
      <c r="B168" s="29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41"/>
    </row>
    <row r="169" spans="2:14" x14ac:dyDescent="0.3">
      <c r="B169" s="29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41"/>
    </row>
    <row r="170" spans="2:14" x14ac:dyDescent="0.3">
      <c r="B170" s="29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41"/>
    </row>
    <row r="171" spans="2:14" ht="15" customHeight="1" x14ac:dyDescent="0.3">
      <c r="B171" s="62" t="s">
        <v>68</v>
      </c>
      <c r="C171" s="60"/>
      <c r="D171" s="64" cm="1">
        <f t="array" ref="D171">_xlfn.XLOOKUP(MIN(IF(NCFA2[Poisson acumulado '[%']]&gt;F171,NCFA2[Poisson acumulado '[%']])),NCFA2[Poisson acumulado '[%']],NCFA2[k])</f>
        <v>4</v>
      </c>
      <c r="E171" s="60" t="s">
        <v>67</v>
      </c>
      <c r="F171" s="68">
        <f>E11</f>
        <v>95</v>
      </c>
      <c r="G171" s="60" t="s">
        <v>65</v>
      </c>
      <c r="H171" s="64">
        <f>_xlfn.XLOOKUP(MIN(S97:S136),S97:S136,R97:R136)</f>
        <v>5</v>
      </c>
      <c r="I171" s="60" t="s">
        <v>66</v>
      </c>
      <c r="J171" s="68">
        <f>_xlfn.XLOOKUP(H171,NCFA2[k],NCFA2[Poisson acumulado '[%']])</f>
        <v>99.471312729060259</v>
      </c>
      <c r="K171" s="60" t="s">
        <v>69</v>
      </c>
      <c r="L171" s="66">
        <f>_xlfn.XLOOKUP(H171,Tabla94[CANTIDAD DE REPUESTOS],Tabla94[COSTO TOTAL DE INVENTARIO])</f>
        <v>3088328.8</v>
      </c>
      <c r="M171" s="60" t="s">
        <v>70</v>
      </c>
      <c r="N171" s="58">
        <f>_xlfn.XLOOKUP(H171,E97:E136,G97:G136)</f>
        <v>258110.06124276159</v>
      </c>
    </row>
    <row r="172" spans="2:14" ht="65.25" customHeight="1" thickBot="1" x14ac:dyDescent="0.35">
      <c r="B172" s="63"/>
      <c r="C172" s="61"/>
      <c r="D172" s="65"/>
      <c r="E172" s="61"/>
      <c r="F172" s="69"/>
      <c r="G172" s="61"/>
      <c r="H172" s="65"/>
      <c r="I172" s="61"/>
      <c r="J172" s="69"/>
      <c r="K172" s="61"/>
      <c r="L172" s="67"/>
      <c r="M172" s="61"/>
      <c r="N172" s="59"/>
    </row>
  </sheetData>
  <mergeCells count="84">
    <mergeCell ref="B1:D1"/>
    <mergeCell ref="E1:I1"/>
    <mergeCell ref="J1:N1"/>
    <mergeCell ref="B2:C2"/>
    <mergeCell ref="D2:H2"/>
    <mergeCell ref="I2:K2"/>
    <mergeCell ref="L2:N2"/>
    <mergeCell ref="B3:C3"/>
    <mergeCell ref="D3:H3"/>
    <mergeCell ref="I3:K3"/>
    <mergeCell ref="L3:N3"/>
    <mergeCell ref="B4:C4"/>
    <mergeCell ref="D4:H4"/>
    <mergeCell ref="I4:K4"/>
    <mergeCell ref="L4:N4"/>
    <mergeCell ref="H7:N25"/>
    <mergeCell ref="B8:B9"/>
    <mergeCell ref="C8:C9"/>
    <mergeCell ref="D8:D9"/>
    <mergeCell ref="E8:E9"/>
    <mergeCell ref="B5:C5"/>
    <mergeCell ref="D5:H5"/>
    <mergeCell ref="I5:K5"/>
    <mergeCell ref="L5:N5"/>
    <mergeCell ref="B6:N6"/>
    <mergeCell ref="B96:D96"/>
    <mergeCell ref="H96:N136"/>
    <mergeCell ref="B97:D98"/>
    <mergeCell ref="B99:C100"/>
    <mergeCell ref="D99:D100"/>
    <mergeCell ref="B101:C102"/>
    <mergeCell ref="D101:D102"/>
    <mergeCell ref="B103:C104"/>
    <mergeCell ref="D103:D104"/>
    <mergeCell ref="B105:C106"/>
    <mergeCell ref="D105:D106"/>
    <mergeCell ref="B119:C120"/>
    <mergeCell ref="D119:D120"/>
    <mergeCell ref="B107:C108"/>
    <mergeCell ref="D107:D108"/>
    <mergeCell ref="B109:C110"/>
    <mergeCell ref="H26:N51"/>
    <mergeCell ref="B52:N52"/>
    <mergeCell ref="C53:D53"/>
    <mergeCell ref="H54:N94"/>
    <mergeCell ref="B95:N95"/>
    <mergeCell ref="D109:D110"/>
    <mergeCell ref="B111:C112"/>
    <mergeCell ref="D111:D112"/>
    <mergeCell ref="B113:C114"/>
    <mergeCell ref="D113:D114"/>
    <mergeCell ref="B115:C116"/>
    <mergeCell ref="D115:D116"/>
    <mergeCell ref="B117:D118"/>
    <mergeCell ref="B133:C134"/>
    <mergeCell ref="D133:D134"/>
    <mergeCell ref="B121:C122"/>
    <mergeCell ref="D121:D122"/>
    <mergeCell ref="B123:C124"/>
    <mergeCell ref="D123:D124"/>
    <mergeCell ref="B125:C126"/>
    <mergeCell ref="D125:D126"/>
    <mergeCell ref="B127:D128"/>
    <mergeCell ref="B129:C130"/>
    <mergeCell ref="D129:D130"/>
    <mergeCell ref="B131:C132"/>
    <mergeCell ref="D131:D132"/>
    <mergeCell ref="B171:C172"/>
    <mergeCell ref="D171:D172"/>
    <mergeCell ref="E171:E172"/>
    <mergeCell ref="F171:F172"/>
    <mergeCell ref="G171:G172"/>
    <mergeCell ref="B135:C136"/>
    <mergeCell ref="D135:D136"/>
    <mergeCell ref="B137:N137"/>
    <mergeCell ref="B138:G170"/>
    <mergeCell ref="H138:N170"/>
    <mergeCell ref="N171:N172"/>
    <mergeCell ref="H171:H172"/>
    <mergeCell ref="I171:I172"/>
    <mergeCell ref="J171:J172"/>
    <mergeCell ref="K171:K172"/>
    <mergeCell ref="L171:L172"/>
    <mergeCell ref="M171:M172"/>
  </mergeCell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8D483-A069-4C2F-A36B-2B444EC061E6}">
  <dimension ref="B1:S172"/>
  <sheetViews>
    <sheetView topLeftCell="B130" zoomScale="80" zoomScaleNormal="80" workbookViewId="0">
      <selection activeCell="P143" sqref="P143"/>
    </sheetView>
  </sheetViews>
  <sheetFormatPr baseColWidth="10" defaultRowHeight="14.4" x14ac:dyDescent="0.3"/>
  <cols>
    <col min="1" max="1" width="3.44140625" customWidth="1"/>
    <col min="2" max="4" width="18.6640625" customWidth="1"/>
    <col min="5" max="5" width="18.88671875" customWidth="1"/>
    <col min="6" max="7" width="18.6640625" customWidth="1"/>
    <col min="8" max="8" width="18.88671875" customWidth="1"/>
    <col min="9" max="9" width="15.88671875" customWidth="1"/>
    <col min="10" max="10" width="16.88671875" customWidth="1"/>
    <col min="11" max="11" width="18.6640625" customWidth="1"/>
    <col min="12" max="12" width="21" customWidth="1"/>
    <col min="13" max="13" width="13.88671875" customWidth="1"/>
    <col min="14" max="14" width="20.109375" customWidth="1"/>
    <col min="18" max="18" width="0.88671875" customWidth="1"/>
    <col min="19" max="19" width="1" customWidth="1"/>
  </cols>
  <sheetData>
    <row r="1" spans="2:14" ht="100.5" customHeight="1" x14ac:dyDescent="0.3">
      <c r="B1" s="70" t="s">
        <v>2</v>
      </c>
      <c r="C1" s="71"/>
      <c r="D1" s="71"/>
      <c r="E1" s="72" t="s">
        <v>24</v>
      </c>
      <c r="F1" s="72"/>
      <c r="G1" s="72"/>
      <c r="H1" s="72"/>
      <c r="I1" s="72"/>
      <c r="J1" s="53"/>
      <c r="K1" s="53"/>
      <c r="L1" s="53"/>
      <c r="M1" s="53"/>
      <c r="N1" s="54"/>
    </row>
    <row r="2" spans="2:14" x14ac:dyDescent="0.3">
      <c r="B2" s="31" t="s">
        <v>21</v>
      </c>
      <c r="C2" s="32"/>
      <c r="D2" s="30"/>
      <c r="E2" s="30"/>
      <c r="F2" s="30"/>
      <c r="G2" s="30"/>
      <c r="H2" s="30"/>
      <c r="I2" s="32" t="s">
        <v>23</v>
      </c>
      <c r="J2" s="32"/>
      <c r="K2" s="32"/>
      <c r="L2" s="30"/>
      <c r="M2" s="30"/>
      <c r="N2" s="41"/>
    </row>
    <row r="3" spans="2:14" x14ac:dyDescent="0.3">
      <c r="B3" s="31" t="s">
        <v>0</v>
      </c>
      <c r="C3" s="32"/>
      <c r="D3" s="30"/>
      <c r="E3" s="30"/>
      <c r="F3" s="30"/>
      <c r="G3" s="30"/>
      <c r="H3" s="30"/>
      <c r="I3" s="32" t="s">
        <v>25</v>
      </c>
      <c r="J3" s="32"/>
      <c r="K3" s="32"/>
      <c r="L3" s="30"/>
      <c r="M3" s="30"/>
      <c r="N3" s="41"/>
    </row>
    <row r="4" spans="2:14" x14ac:dyDescent="0.3">
      <c r="B4" s="31" t="s">
        <v>22</v>
      </c>
      <c r="C4" s="32"/>
      <c r="D4" s="30">
        <v>77304</v>
      </c>
      <c r="E4" s="30"/>
      <c r="F4" s="30"/>
      <c r="G4" s="30"/>
      <c r="H4" s="30"/>
      <c r="I4" s="32" t="s">
        <v>26</v>
      </c>
      <c r="J4" s="32"/>
      <c r="K4" s="32"/>
      <c r="L4" s="30"/>
      <c r="M4" s="30"/>
      <c r="N4" s="41"/>
    </row>
    <row r="5" spans="2:14" x14ac:dyDescent="0.3">
      <c r="B5" s="31" t="s">
        <v>1</v>
      </c>
      <c r="C5" s="32"/>
      <c r="D5" s="30" t="s">
        <v>73</v>
      </c>
      <c r="E5" s="30"/>
      <c r="F5" s="30"/>
      <c r="G5" s="30"/>
      <c r="H5" s="30"/>
      <c r="I5" s="32" t="s">
        <v>27</v>
      </c>
      <c r="J5" s="32"/>
      <c r="K5" s="32"/>
      <c r="L5" s="30"/>
      <c r="M5" s="30"/>
      <c r="N5" s="41"/>
    </row>
    <row r="6" spans="2:14" ht="20.25" customHeight="1" x14ac:dyDescent="0.4">
      <c r="B6" s="50" t="s">
        <v>20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2"/>
    </row>
    <row r="7" spans="2:14" ht="71.25" customHeight="1" x14ac:dyDescent="0.3">
      <c r="B7" s="12" t="s">
        <v>15</v>
      </c>
      <c r="C7" s="2">
        <v>12</v>
      </c>
      <c r="D7" s="1" t="s">
        <v>16</v>
      </c>
      <c r="E7" s="2">
        <f>8/1000000</f>
        <v>7.9999999999999996E-6</v>
      </c>
      <c r="F7" s="1" t="s">
        <v>19</v>
      </c>
      <c r="G7" s="4">
        <f>(C7*24*30)*E7*B11</f>
        <v>2.7648000000000001</v>
      </c>
      <c r="H7" s="30"/>
      <c r="I7" s="30"/>
      <c r="J7" s="30"/>
      <c r="K7" s="30"/>
      <c r="L7" s="30"/>
      <c r="M7" s="30"/>
      <c r="N7" s="41"/>
    </row>
    <row r="8" spans="2:14" ht="15" customHeight="1" x14ac:dyDescent="0.3">
      <c r="B8" s="45" t="s">
        <v>10</v>
      </c>
      <c r="C8" s="46" t="s">
        <v>11</v>
      </c>
      <c r="D8" s="46" t="s">
        <v>12</v>
      </c>
      <c r="E8" s="46" t="s">
        <v>13</v>
      </c>
      <c r="F8" s="1" t="s">
        <v>5</v>
      </c>
      <c r="G8" s="1" t="s">
        <v>6</v>
      </c>
      <c r="H8" s="30"/>
      <c r="I8" s="30"/>
      <c r="J8" s="30"/>
      <c r="K8" s="30"/>
      <c r="L8" s="30"/>
      <c r="M8" s="30"/>
      <c r="N8" s="41"/>
    </row>
    <row r="9" spans="2:14" ht="60" customHeight="1" x14ac:dyDescent="0.3">
      <c r="B9" s="45"/>
      <c r="C9" s="46"/>
      <c r="D9" s="46"/>
      <c r="E9" s="46"/>
      <c r="F9" s="1" t="s">
        <v>3</v>
      </c>
      <c r="G9" s="1" t="s">
        <v>4</v>
      </c>
      <c r="H9" s="30"/>
      <c r="I9" s="30"/>
      <c r="J9" s="30"/>
      <c r="K9" s="30"/>
      <c r="L9" s="30"/>
      <c r="M9" s="30"/>
      <c r="N9" s="41"/>
    </row>
    <row r="10" spans="2:14" ht="30.75" customHeight="1" x14ac:dyDescent="0.3">
      <c r="B10" s="12" t="s">
        <v>7</v>
      </c>
      <c r="C10" s="1" t="s">
        <v>8</v>
      </c>
      <c r="D10" s="1" t="s">
        <v>9</v>
      </c>
      <c r="E10" s="1" t="s">
        <v>14</v>
      </c>
      <c r="F10" s="1" t="s">
        <v>17</v>
      </c>
      <c r="G10" s="1" t="s">
        <v>18</v>
      </c>
      <c r="H10" s="30"/>
      <c r="I10" s="30"/>
      <c r="J10" s="30"/>
      <c r="K10" s="30"/>
      <c r="L10" s="30"/>
      <c r="M10" s="30"/>
      <c r="N10" s="41"/>
    </row>
    <row r="11" spans="2:14" x14ac:dyDescent="0.3">
      <c r="B11" s="13">
        <v>40</v>
      </c>
      <c r="C11" s="6">
        <v>0</v>
      </c>
      <c r="D11" s="5">
        <f>NCFA27[[#This Row],[n ]]-NCFA27[[#This Row],[k]]</f>
        <v>40</v>
      </c>
      <c r="E11" s="6">
        <v>95</v>
      </c>
      <c r="F11" s="5">
        <f>IF(NCFA27[[#This Row],[n-k]]&lt;0,0,((_xlfn.POISSON.DIST(NCFA27[[#This Row],[k]],$G$7,FALSE))*100))</f>
        <v>6.2988695827490639</v>
      </c>
      <c r="G11" s="5">
        <f>IF(NCFA27[[#This Row],[n-k]]&lt;0,100,((_xlfn.POISSON.DIST(NCFA27[[#This Row],[k]],$G$7,TRUE))*100))</f>
        <v>6.2988695827490639</v>
      </c>
      <c r="H11" s="30"/>
      <c r="I11" s="30"/>
      <c r="J11" s="30"/>
      <c r="K11" s="30"/>
      <c r="L11" s="30"/>
      <c r="M11" s="30"/>
      <c r="N11" s="41"/>
    </row>
    <row r="12" spans="2:14" x14ac:dyDescent="0.3">
      <c r="B12" s="14">
        <f>B11</f>
        <v>40</v>
      </c>
      <c r="C12" s="5">
        <f>C11+1</f>
        <v>1</v>
      </c>
      <c r="D12" s="5">
        <f>NCFA27[[#This Row],[n ]]-NCFA27[[#This Row],[k]]</f>
        <v>39</v>
      </c>
      <c r="E12" s="5">
        <f>IF(NCFA27[[#This Row],[n-k]]&lt;0,$E$11,$E$11)</f>
        <v>95</v>
      </c>
      <c r="F12" s="5">
        <f>IF(NCFA27[[#This Row],[n-k]]&lt;0,0,((_xlfn.POISSON.DIST(NCFA27[[#This Row],[k]],$G$7,FALSE))*100))</f>
        <v>17.41511462238461</v>
      </c>
      <c r="G12" s="5">
        <f>IF(NCFA27[[#This Row],[n-k]]&lt;0,100,((_xlfn.POISSON.DIST(NCFA27[[#This Row],[k]],$G$7,TRUE))*100))</f>
        <v>23.713984205133677</v>
      </c>
      <c r="H12" s="30"/>
      <c r="I12" s="30"/>
      <c r="J12" s="30"/>
      <c r="K12" s="30"/>
      <c r="L12" s="30"/>
      <c r="M12" s="30"/>
      <c r="N12" s="41"/>
    </row>
    <row r="13" spans="2:14" x14ac:dyDescent="0.3">
      <c r="B13" s="14">
        <f t="shared" ref="B13:B51" si="0">B12</f>
        <v>40</v>
      </c>
      <c r="C13" s="5">
        <f t="shared" ref="C13:C51" si="1">C12+1</f>
        <v>2</v>
      </c>
      <c r="D13" s="5">
        <f>NCFA27[[#This Row],[n ]]-NCFA27[[#This Row],[k]]</f>
        <v>38</v>
      </c>
      <c r="E13" s="5">
        <f>IF(NCFA27[[#This Row],[n-k]]&lt;0,$E$11,$E$11)</f>
        <v>95</v>
      </c>
      <c r="F13" s="5">
        <f>IF(NCFA27[[#This Row],[n-k]]&lt;0,0,((_xlfn.POISSON.DIST(NCFA27[[#This Row],[k]],$G$7,FALSE))*100))</f>
        <v>24.074654453984493</v>
      </c>
      <c r="G13" s="5">
        <f>IF(NCFA27[[#This Row],[n-k]]&lt;0,100,((_xlfn.POISSON.DIST(NCFA27[[#This Row],[k]],$G$7,TRUE))*100))</f>
        <v>47.788638659118163</v>
      </c>
      <c r="H13" s="30"/>
      <c r="I13" s="30"/>
      <c r="J13" s="30"/>
      <c r="K13" s="30"/>
      <c r="L13" s="30"/>
      <c r="M13" s="30"/>
      <c r="N13" s="41"/>
    </row>
    <row r="14" spans="2:14" x14ac:dyDescent="0.3">
      <c r="B14" s="14">
        <f t="shared" si="0"/>
        <v>40</v>
      </c>
      <c r="C14" s="5">
        <f t="shared" si="1"/>
        <v>3</v>
      </c>
      <c r="D14" s="5">
        <f>NCFA27[[#This Row],[n ]]-NCFA27[[#This Row],[k]]</f>
        <v>37</v>
      </c>
      <c r="E14" s="5">
        <f>IF(NCFA27[[#This Row],[n-k]]&lt;0,$E$11,$E$11)</f>
        <v>95</v>
      </c>
      <c r="F14" s="5">
        <f>IF(NCFA27[[#This Row],[n-k]]&lt;0,0,((_xlfn.POISSON.DIST(NCFA27[[#This Row],[k]],$G$7,FALSE))*100))</f>
        <v>22.18720154479211</v>
      </c>
      <c r="G14" s="5">
        <f>IF(NCFA27[[#This Row],[n-k]]&lt;0,100,((_xlfn.POISSON.DIST(NCFA27[[#This Row],[k]],$G$7,TRUE))*100))</f>
        <v>69.97584020391028</v>
      </c>
      <c r="H14" s="30"/>
      <c r="I14" s="30"/>
      <c r="J14" s="30"/>
      <c r="K14" s="30"/>
      <c r="L14" s="30"/>
      <c r="M14" s="30"/>
      <c r="N14" s="41"/>
    </row>
    <row r="15" spans="2:14" x14ac:dyDescent="0.3">
      <c r="B15" s="14">
        <f t="shared" si="0"/>
        <v>40</v>
      </c>
      <c r="C15" s="5">
        <f t="shared" si="1"/>
        <v>4</v>
      </c>
      <c r="D15" s="5">
        <f>NCFA27[[#This Row],[n ]]-NCFA27[[#This Row],[k]]</f>
        <v>36</v>
      </c>
      <c r="E15" s="5">
        <f>IF(NCFA27[[#This Row],[n-k]]&lt;0,$E$11,$E$11)</f>
        <v>95</v>
      </c>
      <c r="F15" s="5">
        <f>IF(NCFA27[[#This Row],[n-k]]&lt;0,0,((_xlfn.POISSON.DIST(NCFA27[[#This Row],[k]],$G$7,FALSE))*100))</f>
        <v>15.335793707760306</v>
      </c>
      <c r="G15" s="5">
        <f>IF(NCFA27[[#This Row],[n-k]]&lt;0,100,((_xlfn.POISSON.DIST(NCFA27[[#This Row],[k]],$G$7,TRUE))*100))</f>
        <v>85.311633911670583</v>
      </c>
      <c r="H15" s="30"/>
      <c r="I15" s="30"/>
      <c r="J15" s="30"/>
      <c r="K15" s="30"/>
      <c r="L15" s="30"/>
      <c r="M15" s="30"/>
      <c r="N15" s="41"/>
    </row>
    <row r="16" spans="2:14" x14ac:dyDescent="0.3">
      <c r="B16" s="14">
        <f t="shared" si="0"/>
        <v>40</v>
      </c>
      <c r="C16" s="5">
        <f t="shared" si="1"/>
        <v>5</v>
      </c>
      <c r="D16" s="5">
        <f>NCFA27[[#This Row],[n ]]-NCFA27[[#This Row],[k]]</f>
        <v>35</v>
      </c>
      <c r="E16" s="5">
        <f>IF(NCFA27[[#This Row],[n-k]]&lt;0,$E$11,$E$11)</f>
        <v>95</v>
      </c>
      <c r="F16" s="5">
        <f>IF(NCFA27[[#This Row],[n-k]]&lt;0,0,((_xlfn.POISSON.DIST(NCFA27[[#This Row],[k]],$G$7,FALSE))*100))</f>
        <v>8.4800804886431358</v>
      </c>
      <c r="G16" s="5">
        <f>IF(NCFA27[[#This Row],[n-k]]&lt;0,100,((_xlfn.POISSON.DIST(NCFA27[[#This Row],[k]],$G$7,TRUE))*100))</f>
        <v>93.791714400313722</v>
      </c>
      <c r="H16" s="30"/>
      <c r="I16" s="30"/>
      <c r="J16" s="30"/>
      <c r="K16" s="30"/>
      <c r="L16" s="30"/>
      <c r="M16" s="30"/>
      <c r="N16" s="41"/>
    </row>
    <row r="17" spans="2:14" x14ac:dyDescent="0.3">
      <c r="B17" s="14">
        <f t="shared" si="0"/>
        <v>40</v>
      </c>
      <c r="C17" s="5">
        <f t="shared" si="1"/>
        <v>6</v>
      </c>
      <c r="D17" s="5">
        <f>NCFA27[[#This Row],[n ]]-NCFA27[[#This Row],[k]]</f>
        <v>34</v>
      </c>
      <c r="E17" s="5">
        <f>IF(NCFA27[[#This Row],[n-k]]&lt;0,$E$11,$E$11)</f>
        <v>95</v>
      </c>
      <c r="F17" s="5">
        <f>IF(NCFA27[[#This Row],[n-k]]&lt;0,0,((_xlfn.POISSON.DIST(NCFA27[[#This Row],[k]],$G$7,FALSE))*100))</f>
        <v>3.9076210891667564</v>
      </c>
      <c r="G17" s="5">
        <f>IF(NCFA27[[#This Row],[n-k]]&lt;0,100,((_xlfn.POISSON.DIST(NCFA27[[#This Row],[k]],$G$7,TRUE))*100))</f>
        <v>97.699335489480461</v>
      </c>
      <c r="H17" s="30"/>
      <c r="I17" s="30"/>
      <c r="J17" s="30"/>
      <c r="K17" s="30"/>
      <c r="L17" s="30"/>
      <c r="M17" s="30"/>
      <c r="N17" s="41"/>
    </row>
    <row r="18" spans="2:14" x14ac:dyDescent="0.3">
      <c r="B18" s="14">
        <f t="shared" si="0"/>
        <v>40</v>
      </c>
      <c r="C18" s="5">
        <f t="shared" si="1"/>
        <v>7</v>
      </c>
      <c r="D18" s="5">
        <f>NCFA27[[#This Row],[n ]]-NCFA27[[#This Row],[k]]</f>
        <v>33</v>
      </c>
      <c r="E18" s="5">
        <f>IF(NCFA27[[#This Row],[n-k]]&lt;0,$E$11,$E$11)</f>
        <v>95</v>
      </c>
      <c r="F18" s="5">
        <f>IF(NCFA27[[#This Row],[n-k]]&lt;0,0,((_xlfn.POISSON.DIST(NCFA27[[#This Row],[k]],$G$7,FALSE))*100))</f>
        <v>1.5433986839040368</v>
      </c>
      <c r="G18" s="5">
        <f>IF(NCFA27[[#This Row],[n-k]]&lt;0,100,((_xlfn.POISSON.DIST(NCFA27[[#This Row],[k]],$G$7,TRUE))*100))</f>
        <v>99.242734173384505</v>
      </c>
      <c r="H18" s="30"/>
      <c r="I18" s="30"/>
      <c r="J18" s="30"/>
      <c r="K18" s="30"/>
      <c r="L18" s="30"/>
      <c r="M18" s="30"/>
      <c r="N18" s="41"/>
    </row>
    <row r="19" spans="2:14" x14ac:dyDescent="0.3">
      <c r="B19" s="14">
        <f t="shared" si="0"/>
        <v>40</v>
      </c>
      <c r="C19" s="5">
        <f t="shared" si="1"/>
        <v>8</v>
      </c>
      <c r="D19" s="5">
        <f>NCFA27[[#This Row],[n ]]-NCFA27[[#This Row],[k]]</f>
        <v>32</v>
      </c>
      <c r="E19" s="5">
        <f>IF(NCFA27[[#This Row],[n-k]]&lt;0,$E$11,$E$11)</f>
        <v>95</v>
      </c>
      <c r="F19" s="5">
        <f>IF(NCFA27[[#This Row],[n-k]]&lt;0,0,((_xlfn.POISSON.DIST(NCFA27[[#This Row],[k]],$G$7,FALSE))*100))</f>
        <v>0.53339858515723504</v>
      </c>
      <c r="G19" s="5">
        <f>IF(NCFA27[[#This Row],[n-k]]&lt;0,100,((_xlfn.POISSON.DIST(NCFA27[[#This Row],[k]],$G$7,TRUE))*100))</f>
        <v>99.776132758541735</v>
      </c>
      <c r="H19" s="30"/>
      <c r="I19" s="30"/>
      <c r="J19" s="30"/>
      <c r="K19" s="30"/>
      <c r="L19" s="30"/>
      <c r="M19" s="30"/>
      <c r="N19" s="41"/>
    </row>
    <row r="20" spans="2:14" x14ac:dyDescent="0.3">
      <c r="B20" s="14">
        <f t="shared" si="0"/>
        <v>40</v>
      </c>
      <c r="C20" s="5">
        <f t="shared" si="1"/>
        <v>9</v>
      </c>
      <c r="D20" s="5">
        <f>NCFA27[[#This Row],[n ]]-NCFA27[[#This Row],[k]]</f>
        <v>31</v>
      </c>
      <c r="E20" s="5">
        <f>IF(NCFA27[[#This Row],[n-k]]&lt;0,$E$11,$E$11)</f>
        <v>95</v>
      </c>
      <c r="F20" s="5">
        <f>IF(NCFA27[[#This Row],[n-k]]&lt;0,0,((_xlfn.POISSON.DIST(NCFA27[[#This Row],[k]],$G$7,FALSE))*100))</f>
        <v>0.16386004536030252</v>
      </c>
      <c r="G20" s="5">
        <f>IF(NCFA27[[#This Row],[n-k]]&lt;0,100,((_xlfn.POISSON.DIST(NCFA27[[#This Row],[k]],$G$7,TRUE))*100))</f>
        <v>99.939992803902044</v>
      </c>
      <c r="H20" s="30"/>
      <c r="I20" s="30"/>
      <c r="J20" s="30"/>
      <c r="K20" s="30"/>
      <c r="L20" s="30"/>
      <c r="M20" s="30"/>
      <c r="N20" s="41"/>
    </row>
    <row r="21" spans="2:14" x14ac:dyDescent="0.3">
      <c r="B21" s="14">
        <f t="shared" si="0"/>
        <v>40</v>
      </c>
      <c r="C21" s="5">
        <f t="shared" si="1"/>
        <v>10</v>
      </c>
      <c r="D21" s="5">
        <f>NCFA27[[#This Row],[n ]]-NCFA27[[#This Row],[k]]</f>
        <v>30</v>
      </c>
      <c r="E21" s="5">
        <f>IF(NCFA27[[#This Row],[n-k]]&lt;0,$E$11,$E$11)</f>
        <v>95</v>
      </c>
      <c r="F21" s="5">
        <f>IF(NCFA27[[#This Row],[n-k]]&lt;0,0,((_xlfn.POISSON.DIST(NCFA27[[#This Row],[k]],$G$7,FALSE))*100))</f>
        <v>4.5304025341216442E-2</v>
      </c>
      <c r="G21" s="5">
        <f>IF(NCFA27[[#This Row],[n-k]]&lt;0,100,((_xlfn.POISSON.DIST(NCFA27[[#This Row],[k]],$G$7,TRUE))*100))</f>
        <v>99.985296829243268</v>
      </c>
      <c r="H21" s="30"/>
      <c r="I21" s="30"/>
      <c r="J21" s="30"/>
      <c r="K21" s="30"/>
      <c r="L21" s="30"/>
      <c r="M21" s="30"/>
      <c r="N21" s="41"/>
    </row>
    <row r="22" spans="2:14" x14ac:dyDescent="0.3">
      <c r="B22" s="14">
        <f t="shared" si="0"/>
        <v>40</v>
      </c>
      <c r="C22" s="5">
        <f t="shared" si="1"/>
        <v>11</v>
      </c>
      <c r="D22" s="5">
        <f>NCFA27[[#This Row],[n ]]-NCFA27[[#This Row],[k]]</f>
        <v>29</v>
      </c>
      <c r="E22" s="5">
        <f>IF(NCFA27[[#This Row],[n-k]]&lt;0,$E$11,$E$11)</f>
        <v>95</v>
      </c>
      <c r="F22" s="5">
        <f>IF(NCFA27[[#This Row],[n-k]]&lt;0,0,((_xlfn.POISSON.DIST(NCFA27[[#This Row],[k]],$G$7,FALSE))*100))</f>
        <v>1.1386960842126821E-2</v>
      </c>
      <c r="G22" s="5">
        <f>IF(NCFA27[[#This Row],[n-k]]&lt;0,100,((_xlfn.POISSON.DIST(NCFA27[[#This Row],[k]],$G$7,TRUE))*100))</f>
        <v>99.996683790085399</v>
      </c>
      <c r="H22" s="30"/>
      <c r="I22" s="30"/>
      <c r="J22" s="30"/>
      <c r="K22" s="30"/>
      <c r="L22" s="30"/>
      <c r="M22" s="30"/>
      <c r="N22" s="41"/>
    </row>
    <row r="23" spans="2:14" x14ac:dyDescent="0.3">
      <c r="B23" s="14">
        <f t="shared" si="0"/>
        <v>40</v>
      </c>
      <c r="C23" s="5">
        <f t="shared" si="1"/>
        <v>12</v>
      </c>
      <c r="D23" s="5">
        <f>NCFA27[[#This Row],[n ]]-NCFA27[[#This Row],[k]]</f>
        <v>28</v>
      </c>
      <c r="E23" s="5">
        <f>IF(NCFA27[[#This Row],[n-k]]&lt;0,$E$11,$E$11)</f>
        <v>95</v>
      </c>
      <c r="F23" s="5">
        <f>IF(NCFA27[[#This Row],[n-k]]&lt;0,0,((_xlfn.POISSON.DIST(NCFA27[[#This Row],[k]],$G$7,FALSE))*100))</f>
        <v>2.6235557780260182E-3</v>
      </c>
      <c r="G23" s="5">
        <f>IF(NCFA27[[#This Row],[n-k]]&lt;0,100,((_xlfn.POISSON.DIST(NCFA27[[#This Row],[k]],$G$7,TRUE))*100))</f>
        <v>99.999307345863414</v>
      </c>
      <c r="H23" s="30"/>
      <c r="I23" s="30"/>
      <c r="J23" s="30"/>
      <c r="K23" s="30"/>
      <c r="L23" s="30"/>
      <c r="M23" s="30"/>
      <c r="N23" s="41"/>
    </row>
    <row r="24" spans="2:14" x14ac:dyDescent="0.3">
      <c r="B24" s="14">
        <f t="shared" si="0"/>
        <v>40</v>
      </c>
      <c r="C24" s="5">
        <f t="shared" si="1"/>
        <v>13</v>
      </c>
      <c r="D24" s="5">
        <f>NCFA27[[#This Row],[n ]]-NCFA27[[#This Row],[k]]</f>
        <v>27</v>
      </c>
      <c r="E24" s="5">
        <f>IF(NCFA27[[#This Row],[n-k]]&lt;0,$E$11,$E$11)</f>
        <v>95</v>
      </c>
      <c r="F24" s="5">
        <f>IF(NCFA27[[#This Row],[n-k]]&lt;0,0,((_xlfn.POISSON.DIST(NCFA27[[#This Row],[k]],$G$7,FALSE))*100))</f>
        <v>5.5796977039125725E-4</v>
      </c>
      <c r="G24" s="5">
        <f>IF(NCFA27[[#This Row],[n-k]]&lt;0,100,((_xlfn.POISSON.DIST(NCFA27[[#This Row],[k]],$G$7,TRUE))*100))</f>
        <v>99.999865315633812</v>
      </c>
      <c r="H24" s="30"/>
      <c r="I24" s="30"/>
      <c r="J24" s="30"/>
      <c r="K24" s="30"/>
      <c r="L24" s="30"/>
      <c r="M24" s="30"/>
      <c r="N24" s="41"/>
    </row>
    <row r="25" spans="2:14" x14ac:dyDescent="0.3">
      <c r="B25" s="14">
        <f t="shared" si="0"/>
        <v>40</v>
      </c>
      <c r="C25" s="5">
        <f t="shared" si="1"/>
        <v>14</v>
      </c>
      <c r="D25" s="5">
        <f>NCFA27[[#This Row],[n ]]-NCFA27[[#This Row],[k]]</f>
        <v>26</v>
      </c>
      <c r="E25" s="5">
        <f>IF(NCFA27[[#This Row],[n-k]]&lt;0,$E$11,$E$11)</f>
        <v>95</v>
      </c>
      <c r="F25" s="5">
        <f>IF(NCFA27[[#This Row],[n-k]]&lt;0,0,((_xlfn.POISSON.DIST(NCFA27[[#This Row],[k]],$G$7,FALSE))*100))</f>
        <v>1.1019105865555344E-4</v>
      </c>
      <c r="G25" s="5">
        <f>IF(NCFA27[[#This Row],[n-k]]&lt;0,100,((_xlfn.POISSON.DIST(NCFA27[[#This Row],[k]],$G$7,TRUE))*100))</f>
        <v>99.999975506692465</v>
      </c>
      <c r="H25" s="30"/>
      <c r="I25" s="30"/>
      <c r="J25" s="30"/>
      <c r="K25" s="30"/>
      <c r="L25" s="30"/>
      <c r="M25" s="30"/>
      <c r="N25" s="41"/>
    </row>
    <row r="26" spans="2:14" x14ac:dyDescent="0.3">
      <c r="B26" s="14">
        <f t="shared" si="0"/>
        <v>40</v>
      </c>
      <c r="C26" s="5">
        <f t="shared" si="1"/>
        <v>15</v>
      </c>
      <c r="D26" s="5">
        <f>NCFA27[[#This Row],[n ]]-NCFA27[[#This Row],[k]]</f>
        <v>25</v>
      </c>
      <c r="E26" s="5">
        <f>IF(NCFA27[[#This Row],[n-k]]&lt;0,$E$11,$E$11)</f>
        <v>95</v>
      </c>
      <c r="F26" s="5">
        <f>IF(NCFA27[[#This Row],[n-k]]&lt;0,0,((_xlfn.POISSON.DIST(NCFA27[[#This Row],[k]],$G$7,FALSE))*100))</f>
        <v>2.0310415931391644E-5</v>
      </c>
      <c r="G26" s="5">
        <f>IF(NCFA27[[#This Row],[n-k]]&lt;0,100,((_xlfn.POISSON.DIST(NCFA27[[#This Row],[k]],$G$7,TRUE))*100))</f>
        <v>99.999995817108385</v>
      </c>
      <c r="H26" s="30"/>
      <c r="I26" s="30"/>
      <c r="J26" s="30"/>
      <c r="K26" s="30"/>
      <c r="L26" s="30"/>
      <c r="M26" s="30"/>
      <c r="N26" s="41"/>
    </row>
    <row r="27" spans="2:14" x14ac:dyDescent="0.3">
      <c r="B27" s="14">
        <f t="shared" si="0"/>
        <v>40</v>
      </c>
      <c r="C27" s="5">
        <f t="shared" si="1"/>
        <v>16</v>
      </c>
      <c r="D27" s="5">
        <f>NCFA27[[#This Row],[n ]]-NCFA27[[#This Row],[k]]</f>
        <v>24</v>
      </c>
      <c r="E27" s="5">
        <f>IF(NCFA27[[#This Row],[n-k]]&lt;0,$E$11,$E$11)</f>
        <v>95</v>
      </c>
      <c r="F27" s="5">
        <f>IF(NCFA27[[#This Row],[n-k]]&lt;0,0,((_xlfn.POISSON.DIST(NCFA27[[#This Row],[k]],$G$7,FALSE))*100))</f>
        <v>3.5096398729444816E-6</v>
      </c>
      <c r="G27" s="5">
        <f>IF(NCFA27[[#This Row],[n-k]]&lt;0,100,((_xlfn.POISSON.DIST(NCFA27[[#This Row],[k]],$G$7,TRUE))*100))</f>
        <v>99.999999326748267</v>
      </c>
      <c r="H27" s="30"/>
      <c r="I27" s="30"/>
      <c r="J27" s="30"/>
      <c r="K27" s="30"/>
      <c r="L27" s="30"/>
      <c r="M27" s="30"/>
      <c r="N27" s="41"/>
    </row>
    <row r="28" spans="2:14" x14ac:dyDescent="0.3">
      <c r="B28" s="14">
        <f t="shared" si="0"/>
        <v>40</v>
      </c>
      <c r="C28" s="5">
        <f t="shared" si="1"/>
        <v>17</v>
      </c>
      <c r="D28" s="5">
        <f>NCFA27[[#This Row],[n ]]-NCFA27[[#This Row],[k]]</f>
        <v>23</v>
      </c>
      <c r="E28" s="5">
        <f>IF(NCFA27[[#This Row],[n-k]]&lt;0,$E$11,$E$11)</f>
        <v>95</v>
      </c>
      <c r="F28" s="5">
        <f>IF(NCFA27[[#This Row],[n-k]]&lt;0,0,((_xlfn.POISSON.DIST(NCFA27[[#This Row],[k]],$G$7,FALSE))*100))</f>
        <v>5.7079131298334833E-7</v>
      </c>
      <c r="G28" s="5">
        <f>IF(NCFA27[[#This Row],[n-k]]&lt;0,100,((_xlfn.POISSON.DIST(NCFA27[[#This Row],[k]],$G$7,TRUE))*100))</f>
        <v>99.999999897539581</v>
      </c>
      <c r="H28" s="30"/>
      <c r="I28" s="30"/>
      <c r="J28" s="30"/>
      <c r="K28" s="30"/>
      <c r="L28" s="30"/>
      <c r="M28" s="30"/>
      <c r="N28" s="41"/>
    </row>
    <row r="29" spans="2:14" x14ac:dyDescent="0.3">
      <c r="B29" s="14">
        <f t="shared" si="0"/>
        <v>40</v>
      </c>
      <c r="C29" s="5">
        <f t="shared" si="1"/>
        <v>18</v>
      </c>
      <c r="D29" s="5">
        <f>NCFA27[[#This Row],[n ]]-NCFA27[[#This Row],[k]]</f>
        <v>22</v>
      </c>
      <c r="E29" s="5">
        <f>IF(NCFA27[[#This Row],[n-k]]&lt;0,$E$11,$E$11)</f>
        <v>95</v>
      </c>
      <c r="F29" s="5">
        <f>IF(NCFA27[[#This Row],[n-k]]&lt;0,0,((_xlfn.POISSON.DIST(NCFA27[[#This Row],[k]],$G$7,FALSE))*100))</f>
        <v>8.7673545674241997E-8</v>
      </c>
      <c r="G29" s="5">
        <f>IF(NCFA27[[#This Row],[n-k]]&lt;0,100,((_xlfn.POISSON.DIST(NCFA27[[#This Row],[k]],$G$7,TRUE))*100))</f>
        <v>99.999999985213122</v>
      </c>
      <c r="H29" s="30"/>
      <c r="I29" s="30"/>
      <c r="J29" s="30"/>
      <c r="K29" s="30"/>
      <c r="L29" s="30"/>
      <c r="M29" s="30"/>
      <c r="N29" s="41"/>
    </row>
    <row r="30" spans="2:14" x14ac:dyDescent="0.3">
      <c r="B30" s="14">
        <f t="shared" si="0"/>
        <v>40</v>
      </c>
      <c r="C30" s="5">
        <f t="shared" si="1"/>
        <v>19</v>
      </c>
      <c r="D30" s="5">
        <f>NCFA27[[#This Row],[n ]]-NCFA27[[#This Row],[k]]</f>
        <v>21</v>
      </c>
      <c r="E30" s="5">
        <f>IF(NCFA27[[#This Row],[n-k]]&lt;0,$E$11,$E$11)</f>
        <v>95</v>
      </c>
      <c r="F30" s="5">
        <f>IF(NCFA27[[#This Row],[n-k]]&lt;0,0,((_xlfn.POISSON.DIST(NCFA27[[#This Row],[k]],$G$7,FALSE))*100))</f>
        <v>1.2757885214744399E-8</v>
      </c>
      <c r="G30" s="5">
        <f>IF(NCFA27[[#This Row],[n-k]]&lt;0,100,((_xlfn.POISSON.DIST(NCFA27[[#This Row],[k]],$G$7,TRUE))*100))</f>
        <v>99.999999997971017</v>
      </c>
      <c r="H30" s="30"/>
      <c r="I30" s="30"/>
      <c r="J30" s="30"/>
      <c r="K30" s="30"/>
      <c r="L30" s="30"/>
      <c r="M30" s="30"/>
      <c r="N30" s="41"/>
    </row>
    <row r="31" spans="2:14" x14ac:dyDescent="0.3">
      <c r="B31" s="14">
        <f t="shared" si="0"/>
        <v>40</v>
      </c>
      <c r="C31" s="5">
        <f t="shared" si="1"/>
        <v>20</v>
      </c>
      <c r="D31" s="5">
        <f>NCFA27[[#This Row],[n ]]-NCFA27[[#This Row],[k]]</f>
        <v>20</v>
      </c>
      <c r="E31" s="5">
        <f>IF(NCFA27[[#This Row],[n-k]]&lt;0,$E$11,$E$11)</f>
        <v>95</v>
      </c>
      <c r="F31" s="5">
        <f>IF(NCFA27[[#This Row],[n-k]]&lt;0,0,((_xlfn.POISSON.DIST(NCFA27[[#This Row],[k]],$G$7,FALSE))*100))</f>
        <v>1.7636500520862647E-9</v>
      </c>
      <c r="G31" s="5">
        <f>IF(NCFA27[[#This Row],[n-k]]&lt;0,100,((_xlfn.POISSON.DIST(NCFA27[[#This Row],[k]],$G$7,TRUE))*100))</f>
        <v>99.999999999734655</v>
      </c>
      <c r="H31" s="30"/>
      <c r="I31" s="30"/>
      <c r="J31" s="30"/>
      <c r="K31" s="30"/>
      <c r="L31" s="30"/>
      <c r="M31" s="30"/>
      <c r="N31" s="41"/>
    </row>
    <row r="32" spans="2:14" x14ac:dyDescent="0.3">
      <c r="B32" s="14">
        <f t="shared" si="0"/>
        <v>40</v>
      </c>
      <c r="C32" s="7">
        <f t="shared" si="1"/>
        <v>21</v>
      </c>
      <c r="D32" s="7">
        <f>NCFA27[[#This Row],[n ]]-NCFA27[[#This Row],[k]]</f>
        <v>19</v>
      </c>
      <c r="E32" s="5">
        <f>IF(NCFA27[[#This Row],[n-k]]&lt;0,$E$11,$E$11)</f>
        <v>95</v>
      </c>
      <c r="F32" s="5">
        <f>IF(NCFA27[[#This Row],[n-k]]&lt;0,0,((_xlfn.POISSON.DIST(NCFA27[[#This Row],[k]],$G$7,FALSE))*100))</f>
        <v>2.3219712685752976E-10</v>
      </c>
      <c r="G32" s="5">
        <f>IF(NCFA27[[#This Row],[n-k]]&lt;0,100,((_xlfn.POISSON.DIST(NCFA27[[#This Row],[k]],$G$7,TRUE))*100))</f>
        <v>99.99999999996686</v>
      </c>
      <c r="H32" s="30"/>
      <c r="I32" s="30"/>
      <c r="J32" s="30"/>
      <c r="K32" s="30"/>
      <c r="L32" s="30"/>
      <c r="M32" s="30"/>
      <c r="N32" s="41"/>
    </row>
    <row r="33" spans="2:14" x14ac:dyDescent="0.3">
      <c r="B33" s="14">
        <f t="shared" si="0"/>
        <v>40</v>
      </c>
      <c r="C33" s="7">
        <f t="shared" si="1"/>
        <v>22</v>
      </c>
      <c r="D33" s="7">
        <f>NCFA27[[#This Row],[n ]]-NCFA27[[#This Row],[k]]</f>
        <v>18</v>
      </c>
      <c r="E33" s="5">
        <f>IF(NCFA27[[#This Row],[n-k]]&lt;0,$E$11,$E$11)</f>
        <v>95</v>
      </c>
      <c r="F33" s="5">
        <f>IF(NCFA27[[#This Row],[n-k]]&lt;0,0,((_xlfn.POISSON.DIST(NCFA27[[#This Row],[k]],$G$7,FALSE))*100))</f>
        <v>2.9180846197077048E-11</v>
      </c>
      <c r="G33" s="5">
        <f>IF(NCFA27[[#This Row],[n-k]]&lt;0,100,((_xlfn.POISSON.DIST(NCFA27[[#This Row],[k]],$G$7,TRUE))*100))</f>
        <v>99.999999999996035</v>
      </c>
      <c r="H33" s="30"/>
      <c r="I33" s="30"/>
      <c r="J33" s="30"/>
      <c r="K33" s="30"/>
      <c r="L33" s="30"/>
      <c r="M33" s="30"/>
      <c r="N33" s="41"/>
    </row>
    <row r="34" spans="2:14" x14ac:dyDescent="0.3">
      <c r="B34" s="14">
        <f t="shared" si="0"/>
        <v>40</v>
      </c>
      <c r="C34" s="7">
        <f t="shared" si="1"/>
        <v>23</v>
      </c>
      <c r="D34" s="7">
        <f>NCFA27[[#This Row],[n ]]-NCFA27[[#This Row],[k]]</f>
        <v>17</v>
      </c>
      <c r="E34" s="5">
        <f>IF(NCFA27[[#This Row],[n-k]]&lt;0,$E$11,$E$11)</f>
        <v>95</v>
      </c>
      <c r="F34" s="5">
        <f>IF(NCFA27[[#This Row],[n-k]]&lt;0,0,((_xlfn.POISSON.DIST(NCFA27[[#This Row],[k]],$G$7,FALSE))*100))</f>
        <v>3.5077914593773499E-12</v>
      </c>
      <c r="G34" s="5">
        <f>IF(NCFA27[[#This Row],[n-k]]&lt;0,100,((_xlfn.POISSON.DIST(NCFA27[[#This Row],[k]],$G$7,TRUE))*100))</f>
        <v>99.999999999999545</v>
      </c>
      <c r="H34" s="30"/>
      <c r="I34" s="30"/>
      <c r="J34" s="30"/>
      <c r="K34" s="30"/>
      <c r="L34" s="30"/>
      <c r="M34" s="30"/>
      <c r="N34" s="41"/>
    </row>
    <row r="35" spans="2:14" x14ac:dyDescent="0.3">
      <c r="B35" s="14">
        <f t="shared" si="0"/>
        <v>40</v>
      </c>
      <c r="C35" s="7">
        <f t="shared" si="1"/>
        <v>24</v>
      </c>
      <c r="D35" s="7">
        <f>NCFA27[[#This Row],[n ]]-NCFA27[[#This Row],[k]]</f>
        <v>16</v>
      </c>
      <c r="E35" s="5">
        <f>IF(NCFA27[[#This Row],[n-k]]&lt;0,$E$11,$E$11)</f>
        <v>95</v>
      </c>
      <c r="F35" s="5">
        <f>IF(NCFA27[[#This Row],[n-k]]&lt;0,0,((_xlfn.POISSON.DIST(NCFA27[[#This Row],[k]],$G$7,FALSE))*100))</f>
        <v>4.0409757612026718E-13</v>
      </c>
      <c r="G35" s="5">
        <f>IF(NCFA27[[#This Row],[n-k]]&lt;0,100,((_xlfn.POISSON.DIST(NCFA27[[#This Row],[k]],$G$7,TRUE))*100))</f>
        <v>99.999999999999957</v>
      </c>
      <c r="H35" s="30"/>
      <c r="I35" s="30"/>
      <c r="J35" s="30"/>
      <c r="K35" s="30"/>
      <c r="L35" s="30"/>
      <c r="M35" s="30"/>
      <c r="N35" s="41"/>
    </row>
    <row r="36" spans="2:14" x14ac:dyDescent="0.3">
      <c r="B36" s="14">
        <f t="shared" si="0"/>
        <v>40</v>
      </c>
      <c r="C36" s="7">
        <f t="shared" si="1"/>
        <v>25</v>
      </c>
      <c r="D36" s="7">
        <f>NCFA27[[#This Row],[n ]]-NCFA27[[#This Row],[k]]</f>
        <v>15</v>
      </c>
      <c r="E36" s="5">
        <f>IF(NCFA27[[#This Row],[n-k]]&lt;0,$E$11,$E$11)</f>
        <v>95</v>
      </c>
      <c r="F36" s="5">
        <f>IF(NCFA27[[#This Row],[n-k]]&lt;0,0,((_xlfn.POISSON.DIST(NCFA27[[#This Row],[k]],$G$7,FALSE))*100))</f>
        <v>4.4689959138292553E-14</v>
      </c>
      <c r="G36" s="5">
        <f>IF(NCFA27[[#This Row],[n-k]]&lt;0,100,((_xlfn.POISSON.DIST(NCFA27[[#This Row],[k]],$G$7,TRUE))*100))</f>
        <v>100</v>
      </c>
      <c r="H36" s="30"/>
      <c r="I36" s="30"/>
      <c r="J36" s="30"/>
      <c r="K36" s="30"/>
      <c r="L36" s="30"/>
      <c r="M36" s="30"/>
      <c r="N36" s="41"/>
    </row>
    <row r="37" spans="2:14" x14ac:dyDescent="0.3">
      <c r="B37" s="14">
        <f t="shared" si="0"/>
        <v>40</v>
      </c>
      <c r="C37" s="7">
        <f t="shared" si="1"/>
        <v>26</v>
      </c>
      <c r="D37" s="7">
        <f>NCFA27[[#This Row],[n ]]-NCFA27[[#This Row],[k]]</f>
        <v>14</v>
      </c>
      <c r="E37" s="5">
        <f>IF(NCFA27[[#This Row],[n-k]]&lt;0,$E$11,$E$11)</f>
        <v>95</v>
      </c>
      <c r="F37" s="5">
        <f>IF(NCFA27[[#This Row],[n-k]]&lt;0,0,((_xlfn.POISSON.DIST(NCFA27[[#This Row],[k]],$G$7,FALSE))*100))</f>
        <v>4.7522615009827749E-15</v>
      </c>
      <c r="G37" s="5">
        <f>IF(NCFA27[[#This Row],[n-k]]&lt;0,100,((_xlfn.POISSON.DIST(NCFA27[[#This Row],[k]],$G$7,TRUE))*100))</f>
        <v>100</v>
      </c>
      <c r="H37" s="30"/>
      <c r="I37" s="30"/>
      <c r="J37" s="30"/>
      <c r="K37" s="30"/>
      <c r="L37" s="30"/>
      <c r="M37" s="30"/>
      <c r="N37" s="41"/>
    </row>
    <row r="38" spans="2:14" x14ac:dyDescent="0.3">
      <c r="B38" s="14">
        <f t="shared" si="0"/>
        <v>40</v>
      </c>
      <c r="C38" s="7">
        <f t="shared" si="1"/>
        <v>27</v>
      </c>
      <c r="D38" s="7">
        <f>NCFA27[[#This Row],[n ]]-NCFA27[[#This Row],[k]]</f>
        <v>13</v>
      </c>
      <c r="E38" s="5">
        <f>IF(NCFA27[[#This Row],[n-k]]&lt;0,$E$11,$E$11)</f>
        <v>95</v>
      </c>
      <c r="F38" s="5">
        <f>IF(NCFA27[[#This Row],[n-k]]&lt;0,0,((_xlfn.POISSON.DIST(NCFA27[[#This Row],[k]],$G$7,FALSE))*100))</f>
        <v>4.8663157770063582E-16</v>
      </c>
      <c r="G38" s="5">
        <f>IF(NCFA27[[#This Row],[n-k]]&lt;0,100,((_xlfn.POISSON.DIST(NCFA27[[#This Row],[k]],$G$7,TRUE))*100))</f>
        <v>100</v>
      </c>
      <c r="H38" s="30"/>
      <c r="I38" s="30"/>
      <c r="J38" s="30"/>
      <c r="K38" s="30"/>
      <c r="L38" s="30"/>
      <c r="M38" s="30"/>
      <c r="N38" s="41"/>
    </row>
    <row r="39" spans="2:14" x14ac:dyDescent="0.3">
      <c r="B39" s="14">
        <f t="shared" si="0"/>
        <v>40</v>
      </c>
      <c r="C39" s="7">
        <f t="shared" si="1"/>
        <v>28</v>
      </c>
      <c r="D39" s="7">
        <f>NCFA27[[#This Row],[n ]]-NCFA27[[#This Row],[k]]</f>
        <v>12</v>
      </c>
      <c r="E39" s="5">
        <f>IF(NCFA27[[#This Row],[n-k]]&lt;0,$E$11,$E$11)</f>
        <v>95</v>
      </c>
      <c r="F39" s="5">
        <f>IF(NCFA27[[#This Row],[n-k]]&lt;0,0,((_xlfn.POISSON.DIST(NCFA27[[#This Row],[k]],$G$7,FALSE))*100))</f>
        <v>4.8051392358096928E-17</v>
      </c>
      <c r="G39" s="5">
        <f>IF(NCFA27[[#This Row],[n-k]]&lt;0,100,((_xlfn.POISSON.DIST(NCFA27[[#This Row],[k]],$G$7,TRUE))*100))</f>
        <v>100</v>
      </c>
      <c r="H39" s="30"/>
      <c r="I39" s="30"/>
      <c r="J39" s="30"/>
      <c r="K39" s="30"/>
      <c r="L39" s="30"/>
      <c r="M39" s="30"/>
      <c r="N39" s="41"/>
    </row>
    <row r="40" spans="2:14" x14ac:dyDescent="0.3">
      <c r="B40" s="14">
        <f t="shared" si="0"/>
        <v>40</v>
      </c>
      <c r="C40" s="7">
        <f t="shared" si="1"/>
        <v>29</v>
      </c>
      <c r="D40" s="7">
        <f>NCFA27[[#This Row],[n ]]-NCFA27[[#This Row],[k]]</f>
        <v>11</v>
      </c>
      <c r="E40" s="5">
        <f>IF(NCFA27[[#This Row],[n-k]]&lt;0,$E$11,$E$11)</f>
        <v>95</v>
      </c>
      <c r="F40" s="5">
        <f>IF(NCFA27[[#This Row],[n-k]]&lt;0,0,((_xlfn.POISSON.DIST(NCFA27[[#This Row],[k]],$G$7,FALSE))*100))</f>
        <v>4.5811203307470865E-18</v>
      </c>
      <c r="G40" s="5">
        <f>IF(NCFA27[[#This Row],[n-k]]&lt;0,100,((_xlfn.POISSON.DIST(NCFA27[[#This Row],[k]],$G$7,TRUE))*100))</f>
        <v>100</v>
      </c>
      <c r="H40" s="30"/>
      <c r="I40" s="30"/>
      <c r="J40" s="30"/>
      <c r="K40" s="30"/>
      <c r="L40" s="30"/>
      <c r="M40" s="30"/>
      <c r="N40" s="41"/>
    </row>
    <row r="41" spans="2:14" x14ac:dyDescent="0.3">
      <c r="B41" s="14">
        <f t="shared" si="0"/>
        <v>40</v>
      </c>
      <c r="C41" s="7">
        <f t="shared" si="1"/>
        <v>30</v>
      </c>
      <c r="D41" s="7">
        <f>NCFA27[[#This Row],[n ]]-NCFA27[[#This Row],[k]]</f>
        <v>10</v>
      </c>
      <c r="E41" s="5">
        <f>IF(NCFA27[[#This Row],[n-k]]&lt;0,$E$11,$E$11)</f>
        <v>95</v>
      </c>
      <c r="F41" s="5">
        <f>IF(NCFA27[[#This Row],[n-k]]&lt;0,0,((_xlfn.POISSON.DIST(NCFA27[[#This Row],[k]],$G$7,FALSE))*100))</f>
        <v>4.2219604968165702E-19</v>
      </c>
      <c r="G41" s="5">
        <f>IF(NCFA27[[#This Row],[n-k]]&lt;0,100,((_xlfn.POISSON.DIST(NCFA27[[#This Row],[k]],$G$7,TRUE))*100))</f>
        <v>100</v>
      </c>
      <c r="H41" s="30"/>
      <c r="I41" s="30"/>
      <c r="J41" s="30"/>
      <c r="K41" s="30"/>
      <c r="L41" s="30"/>
      <c r="M41" s="30"/>
      <c r="N41" s="41"/>
    </row>
    <row r="42" spans="2:14" x14ac:dyDescent="0.3">
      <c r="B42" s="14">
        <f t="shared" si="0"/>
        <v>40</v>
      </c>
      <c r="C42" s="5">
        <f t="shared" si="1"/>
        <v>31</v>
      </c>
      <c r="D42" s="5">
        <f>NCFA27[[#This Row],[n ]]-NCFA27[[#This Row],[k]]</f>
        <v>9</v>
      </c>
      <c r="E42" s="5">
        <f>IF(NCFA27[[#This Row],[n-k]]&lt;0,$E$11,$E$11)</f>
        <v>95</v>
      </c>
      <c r="F42" s="5">
        <f>IF(NCFA27[[#This Row],[n-k]]&lt;0,0,((_xlfn.POISSON.DIST(NCFA27[[#This Row],[k]],$G$7,FALSE))*100))</f>
        <v>3.76544399406398E-20</v>
      </c>
      <c r="G42" s="5">
        <f>IF(NCFA27[[#This Row],[n-k]]&lt;0,100,((_xlfn.POISSON.DIST(NCFA27[[#This Row],[k]],$G$7,TRUE))*100))</f>
        <v>100</v>
      </c>
      <c r="H42" s="30"/>
      <c r="I42" s="30"/>
      <c r="J42" s="30"/>
      <c r="K42" s="30"/>
      <c r="L42" s="30"/>
      <c r="M42" s="30"/>
      <c r="N42" s="41"/>
    </row>
    <row r="43" spans="2:14" x14ac:dyDescent="0.3">
      <c r="B43" s="14">
        <f t="shared" si="0"/>
        <v>40</v>
      </c>
      <c r="C43" s="7">
        <f t="shared" si="1"/>
        <v>32</v>
      </c>
      <c r="D43" s="7">
        <f>NCFA27[[#This Row],[n ]]-NCFA27[[#This Row],[k]]</f>
        <v>8</v>
      </c>
      <c r="E43" s="5">
        <f>IF(NCFA27[[#This Row],[n-k]]&lt;0,$E$11,$E$11)</f>
        <v>95</v>
      </c>
      <c r="F43" s="5">
        <f>IF(NCFA27[[#This Row],[n-k]]&lt;0,0,((_xlfn.POISSON.DIST(NCFA27[[#This Row],[k]],$G$7,FALSE))*100))</f>
        <v>3.2533436108713065E-21</v>
      </c>
      <c r="G43" s="5">
        <f>IF(NCFA27[[#This Row],[n-k]]&lt;0,100,((_xlfn.POISSON.DIST(NCFA27[[#This Row],[k]],$G$7,TRUE))*100))</f>
        <v>100</v>
      </c>
      <c r="H43" s="30"/>
      <c r="I43" s="30"/>
      <c r="J43" s="30"/>
      <c r="K43" s="30"/>
      <c r="L43" s="30"/>
      <c r="M43" s="30"/>
      <c r="N43" s="41"/>
    </row>
    <row r="44" spans="2:14" x14ac:dyDescent="0.3">
      <c r="B44" s="14">
        <f t="shared" si="0"/>
        <v>40</v>
      </c>
      <c r="C44" s="7">
        <f t="shared" si="1"/>
        <v>33</v>
      </c>
      <c r="D44" s="7">
        <f>NCFA27[[#This Row],[n ]]-NCFA27[[#This Row],[k]]</f>
        <v>7</v>
      </c>
      <c r="E44" s="5">
        <f>IF(NCFA27[[#This Row],[n-k]]&lt;0,$E$11,$E$11)</f>
        <v>95</v>
      </c>
      <c r="F44" s="5">
        <f>IF(NCFA27[[#This Row],[n-k]]&lt;0,0,((_xlfn.POISSON.DIST(NCFA27[[#This Row],[k]],$G$7,FALSE))*100))</f>
        <v>2.7257104288899939E-22</v>
      </c>
      <c r="G44" s="5">
        <f>IF(NCFA27[[#This Row],[n-k]]&lt;0,100,((_xlfn.POISSON.DIST(NCFA27[[#This Row],[k]],$G$7,TRUE))*100))</f>
        <v>100</v>
      </c>
      <c r="H44" s="30"/>
      <c r="I44" s="30"/>
      <c r="J44" s="30"/>
      <c r="K44" s="30"/>
      <c r="L44" s="30"/>
      <c r="M44" s="30"/>
      <c r="N44" s="41"/>
    </row>
    <row r="45" spans="2:14" x14ac:dyDescent="0.3">
      <c r="B45" s="14">
        <f t="shared" si="0"/>
        <v>40</v>
      </c>
      <c r="C45" s="7">
        <f t="shared" si="1"/>
        <v>34</v>
      </c>
      <c r="D45" s="7">
        <f>NCFA27[[#This Row],[n ]]-NCFA27[[#This Row],[k]]</f>
        <v>6</v>
      </c>
      <c r="E45" s="5">
        <f>IF(NCFA27[[#This Row],[n-k]]&lt;0,$E$11,$E$11)</f>
        <v>95</v>
      </c>
      <c r="F45" s="5">
        <f>IF(NCFA27[[#This Row],[n-k]]&lt;0,0,((_xlfn.POISSON.DIST(NCFA27[[#This Row],[k]],$G$7,FALSE))*100))</f>
        <v>2.2164835864103138E-23</v>
      </c>
      <c r="G45" s="5">
        <f>IF(NCFA27[[#This Row],[n-k]]&lt;0,100,((_xlfn.POISSON.DIST(NCFA27[[#This Row],[k]],$G$7,TRUE))*100))</f>
        <v>100</v>
      </c>
      <c r="H45" s="30"/>
      <c r="I45" s="30"/>
      <c r="J45" s="30"/>
      <c r="K45" s="30"/>
      <c r="L45" s="30"/>
      <c r="M45" s="30"/>
      <c r="N45" s="41"/>
    </row>
    <row r="46" spans="2:14" x14ac:dyDescent="0.3">
      <c r="B46" s="14">
        <f t="shared" si="0"/>
        <v>40</v>
      </c>
      <c r="C46" s="7">
        <f t="shared" si="1"/>
        <v>35</v>
      </c>
      <c r="D46" s="7">
        <f>NCFA27[[#This Row],[n ]]-NCFA27[[#This Row],[k]]</f>
        <v>5</v>
      </c>
      <c r="E46" s="5">
        <f>IF(NCFA27[[#This Row],[n-k]]&lt;0,$E$11,$E$11)</f>
        <v>95</v>
      </c>
      <c r="F46" s="5">
        <f>IF(NCFA27[[#This Row],[n-k]]&lt;0,0,((_xlfn.POISSON.DIST(NCFA27[[#This Row],[k]],$G$7,FALSE))*100))</f>
        <v>1.7508953770592203E-24</v>
      </c>
      <c r="G46" s="5">
        <f>IF(NCFA27[[#This Row],[n-k]]&lt;0,100,((_xlfn.POISSON.DIST(NCFA27[[#This Row],[k]],$G$7,TRUE))*100))</f>
        <v>100</v>
      </c>
      <c r="H46" s="30"/>
      <c r="I46" s="30"/>
      <c r="J46" s="30"/>
      <c r="K46" s="30"/>
      <c r="L46" s="30"/>
      <c r="M46" s="30"/>
      <c r="N46" s="41"/>
    </row>
    <row r="47" spans="2:14" x14ac:dyDescent="0.3">
      <c r="B47" s="14">
        <f t="shared" si="0"/>
        <v>40</v>
      </c>
      <c r="C47" s="7">
        <f t="shared" si="1"/>
        <v>36</v>
      </c>
      <c r="D47" s="7">
        <f>NCFA27[[#This Row],[n ]]-NCFA27[[#This Row],[k]]</f>
        <v>4</v>
      </c>
      <c r="E47" s="5">
        <f>IF(NCFA27[[#This Row],[n-k]]&lt;0,$E$11,$E$11)</f>
        <v>95</v>
      </c>
      <c r="F47" s="5">
        <f>IF(NCFA27[[#This Row],[n-k]]&lt;0,0,((_xlfn.POISSON.DIST(NCFA27[[#This Row],[k]],$G$7,FALSE))*100))</f>
        <v>1.344687649581484E-25</v>
      </c>
      <c r="G47" s="5">
        <f>IF(NCFA27[[#This Row],[n-k]]&lt;0,100,((_xlfn.POISSON.DIST(NCFA27[[#This Row],[k]],$G$7,TRUE))*100))</f>
        <v>100</v>
      </c>
      <c r="H47" s="30"/>
      <c r="I47" s="30"/>
      <c r="J47" s="30"/>
      <c r="K47" s="30"/>
      <c r="L47" s="30"/>
      <c r="M47" s="30"/>
      <c r="N47" s="41"/>
    </row>
    <row r="48" spans="2:14" x14ac:dyDescent="0.3">
      <c r="B48" s="14">
        <f t="shared" si="0"/>
        <v>40</v>
      </c>
      <c r="C48" s="7">
        <f t="shared" si="1"/>
        <v>37</v>
      </c>
      <c r="D48" s="7">
        <f>NCFA27[[#This Row],[n ]]-NCFA27[[#This Row],[k]]</f>
        <v>3</v>
      </c>
      <c r="E48" s="5">
        <f>IF(NCFA27[[#This Row],[n-k]]&lt;0,$E$11,$E$11)</f>
        <v>95</v>
      </c>
      <c r="F48" s="5">
        <f>IF(NCFA27[[#This Row],[n-k]]&lt;0,0,((_xlfn.POISSON.DIST(NCFA27[[#This Row],[k]],$G$7,FALSE))*100))</f>
        <v>1.0048087604223945E-26</v>
      </c>
      <c r="G48" s="5">
        <f>IF(NCFA27[[#This Row],[n-k]]&lt;0,100,((_xlfn.POISSON.DIST(NCFA27[[#This Row],[k]],$G$7,TRUE))*100))</f>
        <v>100</v>
      </c>
      <c r="H48" s="30"/>
      <c r="I48" s="30"/>
      <c r="J48" s="30"/>
      <c r="K48" s="30"/>
      <c r="L48" s="30"/>
      <c r="M48" s="30"/>
      <c r="N48" s="41"/>
    </row>
    <row r="49" spans="2:14" x14ac:dyDescent="0.3">
      <c r="B49" s="14">
        <f t="shared" si="0"/>
        <v>40</v>
      </c>
      <c r="C49" s="7">
        <f t="shared" si="1"/>
        <v>38</v>
      </c>
      <c r="D49" s="7">
        <f>NCFA27[[#This Row],[n ]]-NCFA27[[#This Row],[k]]</f>
        <v>2</v>
      </c>
      <c r="E49" s="5">
        <f>IF(NCFA27[[#This Row],[n-k]]&lt;0,$E$11,$E$11)</f>
        <v>95</v>
      </c>
      <c r="F49" s="5">
        <f>IF(NCFA27[[#This Row],[n-k]]&lt;0,0,((_xlfn.POISSON.DIST(NCFA27[[#This Row],[k]],$G$7,FALSE))*100))</f>
        <v>7.3107770021470003E-28</v>
      </c>
      <c r="G49" s="5">
        <f>IF(NCFA27[[#This Row],[n-k]]&lt;0,100,((_xlfn.POISSON.DIST(NCFA27[[#This Row],[k]],$G$7,TRUE))*100))</f>
        <v>100</v>
      </c>
      <c r="H49" s="30"/>
      <c r="I49" s="30"/>
      <c r="J49" s="30"/>
      <c r="K49" s="30"/>
      <c r="L49" s="30"/>
      <c r="M49" s="30"/>
      <c r="N49" s="41"/>
    </row>
    <row r="50" spans="2:14" x14ac:dyDescent="0.3">
      <c r="B50" s="14">
        <f t="shared" si="0"/>
        <v>40</v>
      </c>
      <c r="C50" s="7">
        <f t="shared" si="1"/>
        <v>39</v>
      </c>
      <c r="D50" s="7">
        <f>NCFA27[[#This Row],[n ]]-NCFA27[[#This Row],[k]]</f>
        <v>1</v>
      </c>
      <c r="E50" s="5">
        <f>IF(NCFA27[[#This Row],[n-k]]&lt;0,$E$11,$E$11)</f>
        <v>95</v>
      </c>
      <c r="F50" s="5">
        <f>IF(NCFA27[[#This Row],[n-k]]&lt;0,0,((_xlfn.POISSON.DIST(NCFA27[[#This Row],[k]],$G$7,FALSE))*100))</f>
        <v>5.1827785270605533E-29</v>
      </c>
      <c r="G50" s="5">
        <f>IF(NCFA27[[#This Row],[n-k]]&lt;0,100,((_xlfn.POISSON.DIST(NCFA27[[#This Row],[k]],$G$7,TRUE))*100))</f>
        <v>100</v>
      </c>
      <c r="H50" s="30"/>
      <c r="I50" s="30"/>
      <c r="J50" s="30"/>
      <c r="K50" s="30"/>
      <c r="L50" s="30"/>
      <c r="M50" s="30"/>
      <c r="N50" s="41"/>
    </row>
    <row r="51" spans="2:14" x14ac:dyDescent="0.3">
      <c r="B51" s="14">
        <f t="shared" si="0"/>
        <v>40</v>
      </c>
      <c r="C51" s="7">
        <f t="shared" si="1"/>
        <v>40</v>
      </c>
      <c r="D51" s="7">
        <f>NCFA27[[#This Row],[n ]]-NCFA27[[#This Row],[k]]</f>
        <v>0</v>
      </c>
      <c r="E51" s="5">
        <f>IF(NCFA27[[#This Row],[n-k]]&lt;0,$E$11,$E$11)</f>
        <v>95</v>
      </c>
      <c r="F51" s="5">
        <f>IF(NCFA27[[#This Row],[n-k]]&lt;0,0,((_xlfn.POISSON.DIST(NCFA27[[#This Row],[k]],$G$7,FALSE))*100))</f>
        <v>3.582336517904207E-30</v>
      </c>
      <c r="G51" s="5">
        <f>IF(NCFA27[[#This Row],[n-k]]&lt;0,100,((_xlfn.POISSON.DIST(NCFA27[[#This Row],[k]],$G$7,TRUE))*100))</f>
        <v>100</v>
      </c>
      <c r="H51" s="30"/>
      <c r="I51" s="30"/>
      <c r="J51" s="30"/>
      <c r="K51" s="30"/>
      <c r="L51" s="30"/>
      <c r="M51" s="30"/>
      <c r="N51" s="41"/>
    </row>
    <row r="52" spans="2:14" ht="21" x14ac:dyDescent="0.3">
      <c r="B52" s="42" t="s">
        <v>28</v>
      </c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4"/>
    </row>
    <row r="53" spans="2:14" ht="49.5" customHeight="1" x14ac:dyDescent="0.3">
      <c r="B53" s="12" t="s">
        <v>29</v>
      </c>
      <c r="C53" s="49">
        <v>115802</v>
      </c>
      <c r="D53" s="49"/>
      <c r="E53" s="1" t="s">
        <v>30</v>
      </c>
      <c r="F53" s="8">
        <v>0.06</v>
      </c>
      <c r="G53" s="1" t="s">
        <v>31</v>
      </c>
      <c r="H53" s="8">
        <v>0.1</v>
      </c>
      <c r="I53" s="1" t="s">
        <v>32</v>
      </c>
      <c r="J53" s="8">
        <v>0.03</v>
      </c>
      <c r="K53" s="1" t="s">
        <v>33</v>
      </c>
      <c r="L53" s="8">
        <v>0.02</v>
      </c>
      <c r="M53" s="1" t="s">
        <v>34</v>
      </c>
      <c r="N53" s="15">
        <v>0.15</v>
      </c>
    </row>
    <row r="54" spans="2:14" ht="77.25" customHeight="1" x14ac:dyDescent="0.3">
      <c r="B54" s="12" t="s">
        <v>37</v>
      </c>
      <c r="C54" s="1" t="s">
        <v>35</v>
      </c>
      <c r="D54" s="1" t="s">
        <v>36</v>
      </c>
      <c r="E54" s="1" t="s">
        <v>38</v>
      </c>
      <c r="F54" s="1" t="s">
        <v>39</v>
      </c>
      <c r="G54" s="1" t="s">
        <v>40</v>
      </c>
      <c r="H54" s="30"/>
      <c r="I54" s="30"/>
      <c r="J54" s="30"/>
      <c r="K54" s="30"/>
      <c r="L54" s="30"/>
      <c r="M54" s="30"/>
      <c r="N54" s="41"/>
    </row>
    <row r="55" spans="2:14" x14ac:dyDescent="0.3">
      <c r="B55" s="14">
        <v>1</v>
      </c>
      <c r="C55" s="9">
        <f>IF(Tabla948[[#This Row],[CANTIDAD DE REPUESTOS]]&lt;=B11,Tabla948[[#This Row],[CANTIDAD DE REPUESTOS]]*$C$53,Tabla948[[#This Row],[CANTIDAD DE REPUESTOS]]*$C$53)</f>
        <v>115802</v>
      </c>
      <c r="D55" s="9">
        <f>IF(Tabla948[[#This Row],[CANTIDAD DE REPUESTOS]]&lt;=B11,$C$53*$F$53*Tabla948[[#This Row],[CANTIDAD DE REPUESTOS]],$C$53*$F$53*Tabla948[[#This Row],[CANTIDAD DE REPUESTOS]])</f>
        <v>6948.12</v>
      </c>
      <c r="E55" s="9">
        <f>IF(Tabla948[[#This Row],[CANTIDAD DE REPUESTOS]]&lt;=B11,$C$53*$N$53*Tabla948[[#This Row],[CANTIDAD DE REPUESTOS]],$C$53*$N$53*Tabla948[[#This Row],[CANTIDAD DE REPUESTOS]])</f>
        <v>17370.3</v>
      </c>
      <c r="F55" s="9">
        <f>IF(Tabla948[[#This Row],[CANTIDAD DE REPUESTOS]]&lt;=B11,Tabla948[[#This Row],[CANTIDAD DE REPUESTOS]]*($C$53)*($H$53+$J$53+$L$53),Tabla948[[#This Row],[CANTIDAD DE REPUESTOS]]*($C$53)*($H$53+$J$53+$L$53))</f>
        <v>17370.3</v>
      </c>
      <c r="G55" s="9">
        <f>Tabla948[[#This Row],[COSTO DE COMPRA REPUESTOS]]+Tabla948[[#This Row],[COSTO DE ALMACENAMIENTO]]+Tabla948[[#This Row],[COSTO DE TRANSPORTE]]+Tabla948[[#This Row],[COSTOS DE IMPUESTOS Y OBSOLECENCIA]]</f>
        <v>157490.71999999997</v>
      </c>
      <c r="H55" s="30"/>
      <c r="I55" s="30"/>
      <c r="J55" s="30"/>
      <c r="K55" s="30"/>
      <c r="L55" s="30"/>
      <c r="M55" s="30"/>
      <c r="N55" s="41"/>
    </row>
    <row r="56" spans="2:14" x14ac:dyDescent="0.3">
      <c r="B56" s="14">
        <f>B55+1</f>
        <v>2</v>
      </c>
      <c r="C56" s="9">
        <f>IF(Tabla948[[#This Row],[CANTIDAD DE REPUESTOS]]&lt;=B12,Tabla948[[#This Row],[CANTIDAD DE REPUESTOS]]*$C$53,Tabla948[[#This Row],[CANTIDAD DE REPUESTOS]]*$C$53)</f>
        <v>231604</v>
      </c>
      <c r="D56" s="9">
        <f>IF(Tabla948[[#This Row],[CANTIDAD DE REPUESTOS]]&lt;=B12,$C$53*$F$53*Tabla948[[#This Row],[CANTIDAD DE REPUESTOS]],$C$53*$F$53*Tabla948[[#This Row],[CANTIDAD DE REPUESTOS]])</f>
        <v>13896.24</v>
      </c>
      <c r="E56" s="9">
        <f>IF(Tabla948[[#This Row],[CANTIDAD DE REPUESTOS]]&lt;=B12,$C$53*$N$53*Tabla948[[#This Row],[CANTIDAD DE REPUESTOS]],$C$53*$N$53*Tabla948[[#This Row],[CANTIDAD DE REPUESTOS]])</f>
        <v>34740.6</v>
      </c>
      <c r="F56" s="9">
        <f>IF(Tabla948[[#This Row],[CANTIDAD DE REPUESTOS]]&lt;=B12,Tabla948[[#This Row],[CANTIDAD DE REPUESTOS]]*($C$53)*($H$53+$J$53+$L$53),Tabla948[[#This Row],[CANTIDAD DE REPUESTOS]]*($C$53)*($H$53+$J$53+$L$53))</f>
        <v>34740.6</v>
      </c>
      <c r="G56" s="9">
        <f>Tabla948[[#This Row],[COSTO DE COMPRA REPUESTOS]]+Tabla948[[#This Row],[COSTO DE ALMACENAMIENTO]]+Tabla948[[#This Row],[COSTO DE TRANSPORTE]]+Tabla948[[#This Row],[COSTOS DE IMPUESTOS Y OBSOLECENCIA]]</f>
        <v>314981.43999999994</v>
      </c>
      <c r="H56" s="30"/>
      <c r="I56" s="30"/>
      <c r="J56" s="30"/>
      <c r="K56" s="30"/>
      <c r="L56" s="30"/>
      <c r="M56" s="30"/>
      <c r="N56" s="41"/>
    </row>
    <row r="57" spans="2:14" x14ac:dyDescent="0.3">
      <c r="B57" s="14">
        <f t="shared" ref="B57:B93" si="2">B56+1</f>
        <v>3</v>
      </c>
      <c r="C57" s="9">
        <f>IF(Tabla948[[#This Row],[CANTIDAD DE REPUESTOS]]&lt;=B13,Tabla948[[#This Row],[CANTIDAD DE REPUESTOS]]*$C$53,Tabla948[[#This Row],[CANTIDAD DE REPUESTOS]]*$C$53)</f>
        <v>347406</v>
      </c>
      <c r="D57" s="9">
        <f>IF(Tabla948[[#This Row],[CANTIDAD DE REPUESTOS]]&lt;=B13,$C$53*$F$53*Tabla948[[#This Row],[CANTIDAD DE REPUESTOS]],$C$53*$F$53*Tabla948[[#This Row],[CANTIDAD DE REPUESTOS]])</f>
        <v>20844.36</v>
      </c>
      <c r="E57" s="9">
        <f>IF(Tabla948[[#This Row],[CANTIDAD DE REPUESTOS]]&lt;=B13,$C$53*$N$53*Tabla948[[#This Row],[CANTIDAD DE REPUESTOS]],$C$53*$N$53*Tabla948[[#This Row],[CANTIDAD DE REPUESTOS]])</f>
        <v>52110.899999999994</v>
      </c>
      <c r="F57" s="9">
        <f>IF(Tabla948[[#This Row],[CANTIDAD DE REPUESTOS]]&lt;=B13,Tabla948[[#This Row],[CANTIDAD DE REPUESTOS]]*($C$53)*($H$53+$J$53+$L$53),Tabla948[[#This Row],[CANTIDAD DE REPUESTOS]]*($C$53)*($H$53+$J$53+$L$53))</f>
        <v>52110.9</v>
      </c>
      <c r="G57" s="9">
        <f>Tabla948[[#This Row],[COSTO DE COMPRA REPUESTOS]]+Tabla948[[#This Row],[COSTO DE ALMACENAMIENTO]]+Tabla948[[#This Row],[COSTO DE TRANSPORTE]]+Tabla948[[#This Row],[COSTOS DE IMPUESTOS Y OBSOLECENCIA]]</f>
        <v>472472.16000000003</v>
      </c>
      <c r="H57" s="30"/>
      <c r="I57" s="30"/>
      <c r="J57" s="30"/>
      <c r="K57" s="30"/>
      <c r="L57" s="30"/>
      <c r="M57" s="30"/>
      <c r="N57" s="41"/>
    </row>
    <row r="58" spans="2:14" x14ac:dyDescent="0.3">
      <c r="B58" s="14">
        <f t="shared" si="2"/>
        <v>4</v>
      </c>
      <c r="C58" s="9">
        <f>IF(Tabla948[[#This Row],[CANTIDAD DE REPUESTOS]]&lt;=B14,Tabla948[[#This Row],[CANTIDAD DE REPUESTOS]]*$C$53,Tabla948[[#This Row],[CANTIDAD DE REPUESTOS]]*$C$53)</f>
        <v>463208</v>
      </c>
      <c r="D58" s="9">
        <f>IF(Tabla948[[#This Row],[CANTIDAD DE REPUESTOS]]&lt;=B14,$C$53*$F$53*Tabla948[[#This Row],[CANTIDAD DE REPUESTOS]],$C$53*$F$53*Tabla948[[#This Row],[CANTIDAD DE REPUESTOS]])</f>
        <v>27792.48</v>
      </c>
      <c r="E58" s="9">
        <f>IF(Tabla948[[#This Row],[CANTIDAD DE REPUESTOS]]&lt;=B14,$C$53*$N$53*Tabla948[[#This Row],[CANTIDAD DE REPUESTOS]],$C$53*$N$53*Tabla948[[#This Row],[CANTIDAD DE REPUESTOS]])</f>
        <v>69481.2</v>
      </c>
      <c r="F58" s="9">
        <f>IF(Tabla948[[#This Row],[CANTIDAD DE REPUESTOS]]&lt;=B14,Tabla948[[#This Row],[CANTIDAD DE REPUESTOS]]*($C$53)*($H$53+$J$53+$L$53),Tabla948[[#This Row],[CANTIDAD DE REPUESTOS]]*($C$53)*($H$53+$J$53+$L$53))</f>
        <v>69481.2</v>
      </c>
      <c r="G58" s="9">
        <f>Tabla948[[#This Row],[COSTO DE COMPRA REPUESTOS]]+Tabla948[[#This Row],[COSTO DE ALMACENAMIENTO]]+Tabla948[[#This Row],[COSTO DE TRANSPORTE]]+Tabla948[[#This Row],[COSTOS DE IMPUESTOS Y OBSOLECENCIA]]</f>
        <v>629962.87999999989</v>
      </c>
      <c r="H58" s="30"/>
      <c r="I58" s="30"/>
      <c r="J58" s="30"/>
      <c r="K58" s="30"/>
      <c r="L58" s="30"/>
      <c r="M58" s="30"/>
      <c r="N58" s="41"/>
    </row>
    <row r="59" spans="2:14" x14ac:dyDescent="0.3">
      <c r="B59" s="14">
        <f t="shared" si="2"/>
        <v>5</v>
      </c>
      <c r="C59" s="9">
        <f>IF(Tabla948[[#This Row],[CANTIDAD DE REPUESTOS]]&lt;=B15,Tabla948[[#This Row],[CANTIDAD DE REPUESTOS]]*$C$53,Tabla948[[#This Row],[CANTIDAD DE REPUESTOS]]*$C$53)</f>
        <v>579010</v>
      </c>
      <c r="D59" s="9">
        <f>IF(Tabla948[[#This Row],[CANTIDAD DE REPUESTOS]]&lt;=B15,$C$53*$F$53*Tabla948[[#This Row],[CANTIDAD DE REPUESTOS]],$C$53*$F$53*Tabla948[[#This Row],[CANTIDAD DE REPUESTOS]])</f>
        <v>34740.6</v>
      </c>
      <c r="E59" s="9">
        <f>IF(Tabla948[[#This Row],[CANTIDAD DE REPUESTOS]]&lt;=B15,$C$53*$N$53*Tabla948[[#This Row],[CANTIDAD DE REPUESTOS]],$C$53*$N$53*Tabla948[[#This Row],[CANTIDAD DE REPUESTOS]])</f>
        <v>86851.5</v>
      </c>
      <c r="F59" s="9">
        <f>IF(Tabla948[[#This Row],[CANTIDAD DE REPUESTOS]]&lt;=B15,Tabla948[[#This Row],[CANTIDAD DE REPUESTOS]]*($C$53)*($H$53+$J$53+$L$53),Tabla948[[#This Row],[CANTIDAD DE REPUESTOS]]*($C$53)*($H$53+$J$53+$L$53))</f>
        <v>86851.5</v>
      </c>
      <c r="G59" s="9">
        <f>Tabla948[[#This Row],[COSTO DE COMPRA REPUESTOS]]+Tabla948[[#This Row],[COSTO DE ALMACENAMIENTO]]+Tabla948[[#This Row],[COSTO DE TRANSPORTE]]+Tabla948[[#This Row],[COSTOS DE IMPUESTOS Y OBSOLECENCIA]]</f>
        <v>787453.6</v>
      </c>
      <c r="H59" s="30"/>
      <c r="I59" s="30"/>
      <c r="J59" s="30"/>
      <c r="K59" s="30"/>
      <c r="L59" s="30"/>
      <c r="M59" s="30"/>
      <c r="N59" s="41"/>
    </row>
    <row r="60" spans="2:14" x14ac:dyDescent="0.3">
      <c r="B60" s="14">
        <f t="shared" si="2"/>
        <v>6</v>
      </c>
      <c r="C60" s="9">
        <f>IF(Tabla948[[#This Row],[CANTIDAD DE REPUESTOS]]&lt;=B16,Tabla948[[#This Row],[CANTIDAD DE REPUESTOS]]*$C$53,Tabla948[[#This Row],[CANTIDAD DE REPUESTOS]]*$C$53)</f>
        <v>694812</v>
      </c>
      <c r="D60" s="9">
        <f>IF(Tabla948[[#This Row],[CANTIDAD DE REPUESTOS]]&lt;=B16,$C$53*$F$53*Tabla948[[#This Row],[CANTIDAD DE REPUESTOS]],$C$53*$F$53*Tabla948[[#This Row],[CANTIDAD DE REPUESTOS]])</f>
        <v>41688.720000000001</v>
      </c>
      <c r="E60" s="9">
        <f>IF(Tabla948[[#This Row],[CANTIDAD DE REPUESTOS]]&lt;=B16,$C$53*$N$53*Tabla948[[#This Row],[CANTIDAD DE REPUESTOS]],$C$53*$N$53*Tabla948[[#This Row],[CANTIDAD DE REPUESTOS]])</f>
        <v>104221.79999999999</v>
      </c>
      <c r="F60" s="9">
        <f>IF(Tabla948[[#This Row],[CANTIDAD DE REPUESTOS]]&lt;=B16,Tabla948[[#This Row],[CANTIDAD DE REPUESTOS]]*($C$53)*($H$53+$J$53+$L$53),Tabla948[[#This Row],[CANTIDAD DE REPUESTOS]]*($C$53)*($H$53+$J$53+$L$53))</f>
        <v>104221.8</v>
      </c>
      <c r="G60" s="9">
        <f>Tabla948[[#This Row],[COSTO DE COMPRA REPUESTOS]]+Tabla948[[#This Row],[COSTO DE ALMACENAMIENTO]]+Tabla948[[#This Row],[COSTO DE TRANSPORTE]]+Tabla948[[#This Row],[COSTOS DE IMPUESTOS Y OBSOLECENCIA]]</f>
        <v>944944.32000000007</v>
      </c>
      <c r="H60" s="30"/>
      <c r="I60" s="30"/>
      <c r="J60" s="30"/>
      <c r="K60" s="30"/>
      <c r="L60" s="30"/>
      <c r="M60" s="30"/>
      <c r="N60" s="41"/>
    </row>
    <row r="61" spans="2:14" x14ac:dyDescent="0.3">
      <c r="B61" s="14">
        <f t="shared" si="2"/>
        <v>7</v>
      </c>
      <c r="C61" s="9">
        <f>IF(Tabla948[[#This Row],[CANTIDAD DE REPUESTOS]]&lt;=B17,Tabla948[[#This Row],[CANTIDAD DE REPUESTOS]]*$C$53,Tabla948[[#This Row],[CANTIDAD DE REPUESTOS]]*$C$53)</f>
        <v>810614</v>
      </c>
      <c r="D61" s="9">
        <f>IF(Tabla948[[#This Row],[CANTIDAD DE REPUESTOS]]&lt;=B17,$C$53*$F$53*Tabla948[[#This Row],[CANTIDAD DE REPUESTOS]],$C$53*$F$53*Tabla948[[#This Row],[CANTIDAD DE REPUESTOS]])</f>
        <v>48636.84</v>
      </c>
      <c r="E61" s="9">
        <f>IF(Tabla948[[#This Row],[CANTIDAD DE REPUESTOS]]&lt;=B17,$C$53*$N$53*Tabla948[[#This Row],[CANTIDAD DE REPUESTOS]],$C$53*$N$53*Tabla948[[#This Row],[CANTIDAD DE REPUESTOS]])</f>
        <v>121592.09999999999</v>
      </c>
      <c r="F61" s="9">
        <f>IF(Tabla948[[#This Row],[CANTIDAD DE REPUESTOS]]&lt;=B17,Tabla948[[#This Row],[CANTIDAD DE REPUESTOS]]*($C$53)*($H$53+$J$53+$L$53),Tabla948[[#This Row],[CANTIDAD DE REPUESTOS]]*($C$53)*($H$53+$J$53+$L$53))</f>
        <v>121592.09999999999</v>
      </c>
      <c r="G61" s="9">
        <f>Tabla948[[#This Row],[COSTO DE COMPRA REPUESTOS]]+Tabla948[[#This Row],[COSTO DE ALMACENAMIENTO]]+Tabla948[[#This Row],[COSTO DE TRANSPORTE]]+Tabla948[[#This Row],[COSTOS DE IMPUESTOS Y OBSOLECENCIA]]</f>
        <v>1102435.04</v>
      </c>
      <c r="H61" s="30"/>
      <c r="I61" s="30"/>
      <c r="J61" s="30"/>
      <c r="K61" s="30"/>
      <c r="L61" s="30"/>
      <c r="M61" s="30"/>
      <c r="N61" s="41"/>
    </row>
    <row r="62" spans="2:14" x14ac:dyDescent="0.3">
      <c r="B62" s="14">
        <f t="shared" si="2"/>
        <v>8</v>
      </c>
      <c r="C62" s="9">
        <f>IF(Tabla948[[#This Row],[CANTIDAD DE REPUESTOS]]&lt;=B18,Tabla948[[#This Row],[CANTIDAD DE REPUESTOS]]*$C$53,Tabla948[[#This Row],[CANTIDAD DE REPUESTOS]]*$C$53)</f>
        <v>926416</v>
      </c>
      <c r="D62" s="9">
        <f>IF(Tabla948[[#This Row],[CANTIDAD DE REPUESTOS]]&lt;=B18,$C$53*$F$53*Tabla948[[#This Row],[CANTIDAD DE REPUESTOS]],$C$53*$F$53*Tabla948[[#This Row],[CANTIDAD DE REPUESTOS]])</f>
        <v>55584.959999999999</v>
      </c>
      <c r="E62" s="9">
        <f>IF(Tabla948[[#This Row],[CANTIDAD DE REPUESTOS]]&lt;=B18,$C$53*$N$53*Tabla948[[#This Row],[CANTIDAD DE REPUESTOS]],$C$53*$N$53*Tabla948[[#This Row],[CANTIDAD DE REPUESTOS]])</f>
        <v>138962.4</v>
      </c>
      <c r="F62" s="9">
        <f>IF(Tabla948[[#This Row],[CANTIDAD DE REPUESTOS]]&lt;=B18,Tabla948[[#This Row],[CANTIDAD DE REPUESTOS]]*($C$53)*($H$53+$J$53+$L$53),Tabla948[[#This Row],[CANTIDAD DE REPUESTOS]]*($C$53)*($H$53+$J$53+$L$53))</f>
        <v>138962.4</v>
      </c>
      <c r="G62" s="9">
        <f>Tabla948[[#This Row],[COSTO DE COMPRA REPUESTOS]]+Tabla948[[#This Row],[COSTO DE ALMACENAMIENTO]]+Tabla948[[#This Row],[COSTO DE TRANSPORTE]]+Tabla948[[#This Row],[COSTOS DE IMPUESTOS Y OBSOLECENCIA]]</f>
        <v>1259925.7599999998</v>
      </c>
      <c r="H62" s="30"/>
      <c r="I62" s="30"/>
      <c r="J62" s="30"/>
      <c r="K62" s="30"/>
      <c r="L62" s="30"/>
      <c r="M62" s="30"/>
      <c r="N62" s="41"/>
    </row>
    <row r="63" spans="2:14" x14ac:dyDescent="0.3">
      <c r="B63" s="14">
        <f t="shared" si="2"/>
        <v>9</v>
      </c>
      <c r="C63" s="9">
        <f>IF(Tabla948[[#This Row],[CANTIDAD DE REPUESTOS]]&lt;=B19,Tabla948[[#This Row],[CANTIDAD DE REPUESTOS]]*$C$53,Tabla948[[#This Row],[CANTIDAD DE REPUESTOS]]*$C$53)</f>
        <v>1042218</v>
      </c>
      <c r="D63" s="9">
        <f>IF(Tabla948[[#This Row],[CANTIDAD DE REPUESTOS]]&lt;=B19,$C$53*$F$53*Tabla948[[#This Row],[CANTIDAD DE REPUESTOS]],$C$53*$F$53*Tabla948[[#This Row],[CANTIDAD DE REPUESTOS]])</f>
        <v>62533.08</v>
      </c>
      <c r="E63" s="9">
        <f>IF(Tabla948[[#This Row],[CANTIDAD DE REPUESTOS]]&lt;=B19,$C$53*$N$53*Tabla948[[#This Row],[CANTIDAD DE REPUESTOS]],$C$53*$N$53*Tabla948[[#This Row],[CANTIDAD DE REPUESTOS]])</f>
        <v>156332.69999999998</v>
      </c>
      <c r="F63" s="9">
        <f>IF(Tabla948[[#This Row],[CANTIDAD DE REPUESTOS]]&lt;=B19,Tabla948[[#This Row],[CANTIDAD DE REPUESTOS]]*($C$53)*($H$53+$J$53+$L$53),Tabla948[[#This Row],[CANTIDAD DE REPUESTOS]]*($C$53)*($H$53+$J$53+$L$53))</f>
        <v>156332.69999999998</v>
      </c>
      <c r="G63" s="9">
        <f>Tabla948[[#This Row],[COSTO DE COMPRA REPUESTOS]]+Tabla948[[#This Row],[COSTO DE ALMACENAMIENTO]]+Tabla948[[#This Row],[COSTO DE TRANSPORTE]]+Tabla948[[#This Row],[COSTOS DE IMPUESTOS Y OBSOLECENCIA]]</f>
        <v>1417416.48</v>
      </c>
      <c r="H63" s="30"/>
      <c r="I63" s="30"/>
      <c r="J63" s="30"/>
      <c r="K63" s="30"/>
      <c r="L63" s="30"/>
      <c r="M63" s="30"/>
      <c r="N63" s="41"/>
    </row>
    <row r="64" spans="2:14" x14ac:dyDescent="0.3">
      <c r="B64" s="14">
        <f t="shared" si="2"/>
        <v>10</v>
      </c>
      <c r="C64" s="9">
        <f>IF(Tabla948[[#This Row],[CANTIDAD DE REPUESTOS]]&lt;=B20,Tabla948[[#This Row],[CANTIDAD DE REPUESTOS]]*$C$53,Tabla948[[#This Row],[CANTIDAD DE REPUESTOS]]*$C$53)</f>
        <v>1158020</v>
      </c>
      <c r="D64" s="9">
        <f>IF(Tabla948[[#This Row],[CANTIDAD DE REPUESTOS]]&lt;=B20,$C$53*$F$53*Tabla948[[#This Row],[CANTIDAD DE REPUESTOS]],$C$53*$F$53*Tabla948[[#This Row],[CANTIDAD DE REPUESTOS]])</f>
        <v>69481.2</v>
      </c>
      <c r="E64" s="9">
        <f>IF(Tabla948[[#This Row],[CANTIDAD DE REPUESTOS]]&lt;=B20,$C$53*$N$53*Tabla948[[#This Row],[CANTIDAD DE REPUESTOS]],$C$53*$N$53*Tabla948[[#This Row],[CANTIDAD DE REPUESTOS]])</f>
        <v>173703</v>
      </c>
      <c r="F64" s="9">
        <f>IF(Tabla948[[#This Row],[CANTIDAD DE REPUESTOS]]&lt;=B20,Tabla948[[#This Row],[CANTIDAD DE REPUESTOS]]*($C$53)*($H$53+$J$53+$L$53),Tabla948[[#This Row],[CANTIDAD DE REPUESTOS]]*($C$53)*($H$53+$J$53+$L$53))</f>
        <v>173703</v>
      </c>
      <c r="G64" s="9">
        <f>Tabla948[[#This Row],[COSTO DE COMPRA REPUESTOS]]+Tabla948[[#This Row],[COSTO DE ALMACENAMIENTO]]+Tabla948[[#This Row],[COSTO DE TRANSPORTE]]+Tabla948[[#This Row],[COSTOS DE IMPUESTOS Y OBSOLECENCIA]]</f>
        <v>1574907.2</v>
      </c>
      <c r="H64" s="30"/>
      <c r="I64" s="30"/>
      <c r="J64" s="30"/>
      <c r="K64" s="30"/>
      <c r="L64" s="30"/>
      <c r="M64" s="30"/>
      <c r="N64" s="41"/>
    </row>
    <row r="65" spans="2:14" x14ac:dyDescent="0.3">
      <c r="B65" s="14">
        <f t="shared" si="2"/>
        <v>11</v>
      </c>
      <c r="C65" s="9">
        <f>IF(Tabla948[[#This Row],[CANTIDAD DE REPUESTOS]]&lt;=B21,Tabla948[[#This Row],[CANTIDAD DE REPUESTOS]]*$C$53,Tabla948[[#This Row],[CANTIDAD DE REPUESTOS]]*$C$53)</f>
        <v>1273822</v>
      </c>
      <c r="D65" s="9">
        <f>IF(Tabla948[[#This Row],[CANTIDAD DE REPUESTOS]]&lt;=B21,$C$53*$F$53*Tabla948[[#This Row],[CANTIDAD DE REPUESTOS]],$C$53*$F$53*Tabla948[[#This Row],[CANTIDAD DE REPUESTOS]])</f>
        <v>76429.319999999992</v>
      </c>
      <c r="E65" s="9">
        <f>IF(Tabla948[[#This Row],[CANTIDAD DE REPUESTOS]]&lt;=B21,$C$53*$N$53*Tabla948[[#This Row],[CANTIDAD DE REPUESTOS]],$C$53*$N$53*Tabla948[[#This Row],[CANTIDAD DE REPUESTOS]])</f>
        <v>191073.3</v>
      </c>
      <c r="F65" s="9">
        <f>IF(Tabla948[[#This Row],[CANTIDAD DE REPUESTOS]]&lt;=B21,Tabla948[[#This Row],[CANTIDAD DE REPUESTOS]]*($C$53)*($H$53+$J$53+$L$53),Tabla948[[#This Row],[CANTIDAD DE REPUESTOS]]*($C$53)*($H$53+$J$53+$L$53))</f>
        <v>191073.3</v>
      </c>
      <c r="G65" s="9">
        <f>Tabla948[[#This Row],[COSTO DE COMPRA REPUESTOS]]+Tabla948[[#This Row],[COSTO DE ALMACENAMIENTO]]+Tabla948[[#This Row],[COSTO DE TRANSPORTE]]+Tabla948[[#This Row],[COSTOS DE IMPUESTOS Y OBSOLECENCIA]]</f>
        <v>1732397.9200000002</v>
      </c>
      <c r="H65" s="30"/>
      <c r="I65" s="30"/>
      <c r="J65" s="30"/>
      <c r="K65" s="30"/>
      <c r="L65" s="30"/>
      <c r="M65" s="30"/>
      <c r="N65" s="41"/>
    </row>
    <row r="66" spans="2:14" x14ac:dyDescent="0.3">
      <c r="B66" s="14">
        <f t="shared" si="2"/>
        <v>12</v>
      </c>
      <c r="C66" s="9">
        <f>IF(Tabla948[[#This Row],[CANTIDAD DE REPUESTOS]]&lt;=B22,Tabla948[[#This Row],[CANTIDAD DE REPUESTOS]]*$C$53,Tabla948[[#This Row],[CANTIDAD DE REPUESTOS]]*$C$53)</f>
        <v>1389624</v>
      </c>
      <c r="D66" s="9">
        <f>IF(Tabla948[[#This Row],[CANTIDAD DE REPUESTOS]]&lt;=B22,$C$53*$F$53*Tabla948[[#This Row],[CANTIDAD DE REPUESTOS]],$C$53*$F$53*Tabla948[[#This Row],[CANTIDAD DE REPUESTOS]])</f>
        <v>83377.440000000002</v>
      </c>
      <c r="E66" s="9">
        <f>IF(Tabla948[[#This Row],[CANTIDAD DE REPUESTOS]]&lt;=B22,$C$53*$N$53*Tabla948[[#This Row],[CANTIDAD DE REPUESTOS]],$C$53*$N$53*Tabla948[[#This Row],[CANTIDAD DE REPUESTOS]])</f>
        <v>208443.59999999998</v>
      </c>
      <c r="F66" s="9">
        <f>IF(Tabla948[[#This Row],[CANTIDAD DE REPUESTOS]]&lt;=B22,Tabla948[[#This Row],[CANTIDAD DE REPUESTOS]]*($C$53)*($H$53+$J$53+$L$53),Tabla948[[#This Row],[CANTIDAD DE REPUESTOS]]*($C$53)*($H$53+$J$53+$L$53))</f>
        <v>208443.6</v>
      </c>
      <c r="G66" s="9">
        <f>Tabla948[[#This Row],[COSTO DE COMPRA REPUESTOS]]+Tabla948[[#This Row],[COSTO DE ALMACENAMIENTO]]+Tabla948[[#This Row],[COSTO DE TRANSPORTE]]+Tabla948[[#This Row],[COSTOS DE IMPUESTOS Y OBSOLECENCIA]]</f>
        <v>1889888.6400000001</v>
      </c>
      <c r="H66" s="30"/>
      <c r="I66" s="30"/>
      <c r="J66" s="30"/>
      <c r="K66" s="30"/>
      <c r="L66" s="30"/>
      <c r="M66" s="30"/>
      <c r="N66" s="41"/>
    </row>
    <row r="67" spans="2:14" x14ac:dyDescent="0.3">
      <c r="B67" s="14">
        <f t="shared" si="2"/>
        <v>13</v>
      </c>
      <c r="C67" s="9">
        <f>IF(Tabla948[[#This Row],[CANTIDAD DE REPUESTOS]]&lt;=B23,Tabla948[[#This Row],[CANTIDAD DE REPUESTOS]]*$C$53,Tabla948[[#This Row],[CANTIDAD DE REPUESTOS]]*$C$53)</f>
        <v>1505426</v>
      </c>
      <c r="D67" s="9">
        <f>IF(Tabla948[[#This Row],[CANTIDAD DE REPUESTOS]]&lt;=B23,$C$53*$F$53*Tabla948[[#This Row],[CANTIDAD DE REPUESTOS]],$C$53*$F$53*Tabla948[[#This Row],[CANTIDAD DE REPUESTOS]])</f>
        <v>90325.56</v>
      </c>
      <c r="E67" s="9">
        <f>IF(Tabla948[[#This Row],[CANTIDAD DE REPUESTOS]]&lt;=B23,$C$53*$N$53*Tabla948[[#This Row],[CANTIDAD DE REPUESTOS]],$C$53*$N$53*Tabla948[[#This Row],[CANTIDAD DE REPUESTOS]])</f>
        <v>225813.9</v>
      </c>
      <c r="F67" s="9">
        <f>IF(Tabla948[[#This Row],[CANTIDAD DE REPUESTOS]]&lt;=B23,Tabla948[[#This Row],[CANTIDAD DE REPUESTOS]]*($C$53)*($H$53+$J$53+$L$53),Tabla948[[#This Row],[CANTIDAD DE REPUESTOS]]*($C$53)*($H$53+$J$53+$L$53))</f>
        <v>225813.9</v>
      </c>
      <c r="G67" s="9">
        <f>Tabla948[[#This Row],[COSTO DE COMPRA REPUESTOS]]+Tabla948[[#This Row],[COSTO DE ALMACENAMIENTO]]+Tabla948[[#This Row],[COSTO DE TRANSPORTE]]+Tabla948[[#This Row],[COSTOS DE IMPUESTOS Y OBSOLECENCIA]]</f>
        <v>2047379.3599999999</v>
      </c>
      <c r="H67" s="30"/>
      <c r="I67" s="30"/>
      <c r="J67" s="30"/>
      <c r="K67" s="30"/>
      <c r="L67" s="30"/>
      <c r="M67" s="30"/>
      <c r="N67" s="41"/>
    </row>
    <row r="68" spans="2:14" x14ac:dyDescent="0.3">
      <c r="B68" s="14">
        <f t="shared" si="2"/>
        <v>14</v>
      </c>
      <c r="C68" s="9">
        <f>IF(Tabla948[[#This Row],[CANTIDAD DE REPUESTOS]]&lt;=B24,Tabla948[[#This Row],[CANTIDAD DE REPUESTOS]]*$C$53,Tabla948[[#This Row],[CANTIDAD DE REPUESTOS]]*$C$53)</f>
        <v>1621228</v>
      </c>
      <c r="D68" s="9">
        <f>IF(Tabla948[[#This Row],[CANTIDAD DE REPUESTOS]]&lt;=B24,$C$53*$F$53*Tabla948[[#This Row],[CANTIDAD DE REPUESTOS]],$C$53*$F$53*Tabla948[[#This Row],[CANTIDAD DE REPUESTOS]])</f>
        <v>97273.68</v>
      </c>
      <c r="E68" s="9">
        <f>IF(Tabla948[[#This Row],[CANTIDAD DE REPUESTOS]]&lt;=B24,$C$53*$N$53*Tabla948[[#This Row],[CANTIDAD DE REPUESTOS]],$C$53*$N$53*Tabla948[[#This Row],[CANTIDAD DE REPUESTOS]])</f>
        <v>243184.19999999998</v>
      </c>
      <c r="F68" s="9">
        <f>IF(Tabla948[[#This Row],[CANTIDAD DE REPUESTOS]]&lt;=B24,Tabla948[[#This Row],[CANTIDAD DE REPUESTOS]]*($C$53)*($H$53+$J$53+$L$53),Tabla948[[#This Row],[CANTIDAD DE REPUESTOS]]*($C$53)*($H$53+$J$53+$L$53))</f>
        <v>243184.19999999998</v>
      </c>
      <c r="G68" s="9">
        <f>Tabla948[[#This Row],[COSTO DE COMPRA REPUESTOS]]+Tabla948[[#This Row],[COSTO DE ALMACENAMIENTO]]+Tabla948[[#This Row],[COSTO DE TRANSPORTE]]+Tabla948[[#This Row],[COSTOS DE IMPUESTOS Y OBSOLECENCIA]]</f>
        <v>2204870.08</v>
      </c>
      <c r="H68" s="30"/>
      <c r="I68" s="30"/>
      <c r="J68" s="30"/>
      <c r="K68" s="30"/>
      <c r="L68" s="30"/>
      <c r="M68" s="30"/>
      <c r="N68" s="41"/>
    </row>
    <row r="69" spans="2:14" x14ac:dyDescent="0.3">
      <c r="B69" s="14">
        <f t="shared" si="2"/>
        <v>15</v>
      </c>
      <c r="C69" s="9">
        <f>IF(Tabla948[[#This Row],[CANTIDAD DE REPUESTOS]]&lt;=B25,Tabla948[[#This Row],[CANTIDAD DE REPUESTOS]]*$C$53,Tabla948[[#This Row],[CANTIDAD DE REPUESTOS]]*$C$53)</f>
        <v>1737030</v>
      </c>
      <c r="D69" s="9">
        <f>IF(Tabla948[[#This Row],[CANTIDAD DE REPUESTOS]]&lt;=B25,$C$53*$F$53*Tabla948[[#This Row],[CANTIDAD DE REPUESTOS]],$C$53*$F$53*Tabla948[[#This Row],[CANTIDAD DE REPUESTOS]])</f>
        <v>104221.8</v>
      </c>
      <c r="E69" s="9">
        <f>IF(Tabla948[[#This Row],[CANTIDAD DE REPUESTOS]]&lt;=B25,$C$53*$N$53*Tabla948[[#This Row],[CANTIDAD DE REPUESTOS]],$C$53*$N$53*Tabla948[[#This Row],[CANTIDAD DE REPUESTOS]])</f>
        <v>260554.5</v>
      </c>
      <c r="F69" s="9">
        <f>IF(Tabla948[[#This Row],[CANTIDAD DE REPUESTOS]]&lt;=B25,Tabla948[[#This Row],[CANTIDAD DE REPUESTOS]]*($C$53)*($H$53+$J$53+$L$53),Tabla948[[#This Row],[CANTIDAD DE REPUESTOS]]*($C$53)*($H$53+$J$53+$L$53))</f>
        <v>260554.5</v>
      </c>
      <c r="G69" s="9">
        <f>Tabla948[[#This Row],[COSTO DE COMPRA REPUESTOS]]+Tabla948[[#This Row],[COSTO DE ALMACENAMIENTO]]+Tabla948[[#This Row],[COSTO DE TRANSPORTE]]+Tabla948[[#This Row],[COSTOS DE IMPUESTOS Y OBSOLECENCIA]]</f>
        <v>2362360.7999999998</v>
      </c>
      <c r="H69" s="30"/>
      <c r="I69" s="30"/>
      <c r="J69" s="30"/>
      <c r="K69" s="30"/>
      <c r="L69" s="30"/>
      <c r="M69" s="30"/>
      <c r="N69" s="41"/>
    </row>
    <row r="70" spans="2:14" x14ac:dyDescent="0.3">
      <c r="B70" s="14">
        <f t="shared" si="2"/>
        <v>16</v>
      </c>
      <c r="C70" s="9">
        <f>IF(Tabla948[[#This Row],[CANTIDAD DE REPUESTOS]]&lt;=B26,Tabla948[[#This Row],[CANTIDAD DE REPUESTOS]]*$C$53,Tabla948[[#This Row],[CANTIDAD DE REPUESTOS]]*$C$53)</f>
        <v>1852832</v>
      </c>
      <c r="D70" s="9">
        <f>IF(Tabla948[[#This Row],[CANTIDAD DE REPUESTOS]]&lt;=B26,$C$53*$F$53*Tabla948[[#This Row],[CANTIDAD DE REPUESTOS]],$C$53*$F$53*Tabla948[[#This Row],[CANTIDAD DE REPUESTOS]])</f>
        <v>111169.92</v>
      </c>
      <c r="E70" s="9">
        <f>IF(Tabla948[[#This Row],[CANTIDAD DE REPUESTOS]]&lt;=B26,$C$53*$N$53*Tabla948[[#This Row],[CANTIDAD DE REPUESTOS]],$C$53*$N$53*Tabla948[[#This Row],[CANTIDAD DE REPUESTOS]])</f>
        <v>277924.8</v>
      </c>
      <c r="F70" s="9">
        <f>IF(Tabla948[[#This Row],[CANTIDAD DE REPUESTOS]]&lt;=B26,Tabla948[[#This Row],[CANTIDAD DE REPUESTOS]]*($C$53)*($H$53+$J$53+$L$53),Tabla948[[#This Row],[CANTIDAD DE REPUESTOS]]*($C$53)*($H$53+$J$53+$L$53))</f>
        <v>277924.8</v>
      </c>
      <c r="G70" s="9">
        <f>Tabla948[[#This Row],[COSTO DE COMPRA REPUESTOS]]+Tabla948[[#This Row],[COSTO DE ALMACENAMIENTO]]+Tabla948[[#This Row],[COSTO DE TRANSPORTE]]+Tabla948[[#This Row],[COSTOS DE IMPUESTOS Y OBSOLECENCIA]]</f>
        <v>2519851.5199999996</v>
      </c>
      <c r="H70" s="30"/>
      <c r="I70" s="30"/>
      <c r="J70" s="30"/>
      <c r="K70" s="30"/>
      <c r="L70" s="30"/>
      <c r="M70" s="30"/>
      <c r="N70" s="41"/>
    </row>
    <row r="71" spans="2:14" x14ac:dyDescent="0.3">
      <c r="B71" s="14">
        <f t="shared" si="2"/>
        <v>17</v>
      </c>
      <c r="C71" s="9">
        <f>IF(Tabla948[[#This Row],[CANTIDAD DE REPUESTOS]]&lt;=B27,Tabla948[[#This Row],[CANTIDAD DE REPUESTOS]]*$C$53,Tabla948[[#This Row],[CANTIDAD DE REPUESTOS]]*$C$53)</f>
        <v>1968634</v>
      </c>
      <c r="D71" s="9">
        <f>IF(Tabla948[[#This Row],[CANTIDAD DE REPUESTOS]]&lt;=B27,$C$53*$F$53*Tabla948[[#This Row],[CANTIDAD DE REPUESTOS]],$C$53*$F$53*Tabla948[[#This Row],[CANTIDAD DE REPUESTOS]])</f>
        <v>118118.04</v>
      </c>
      <c r="E71" s="9">
        <f>IF(Tabla948[[#This Row],[CANTIDAD DE REPUESTOS]]&lt;=B27,$C$53*$N$53*Tabla948[[#This Row],[CANTIDAD DE REPUESTOS]],$C$53*$N$53*Tabla948[[#This Row],[CANTIDAD DE REPUESTOS]])</f>
        <v>295295.09999999998</v>
      </c>
      <c r="F71" s="9">
        <f>IF(Tabla948[[#This Row],[CANTIDAD DE REPUESTOS]]&lt;=B27,Tabla948[[#This Row],[CANTIDAD DE REPUESTOS]]*($C$53)*($H$53+$J$53+$L$53),Tabla948[[#This Row],[CANTIDAD DE REPUESTOS]]*($C$53)*($H$53+$J$53+$L$53))</f>
        <v>295295.09999999998</v>
      </c>
      <c r="G71" s="9">
        <f>Tabla948[[#This Row],[COSTO DE COMPRA REPUESTOS]]+Tabla948[[#This Row],[COSTO DE ALMACENAMIENTO]]+Tabla948[[#This Row],[COSTO DE TRANSPORTE]]+Tabla948[[#This Row],[COSTOS DE IMPUESTOS Y OBSOLECENCIA]]</f>
        <v>2677342.2400000002</v>
      </c>
      <c r="H71" s="30"/>
      <c r="I71" s="30"/>
      <c r="J71" s="30"/>
      <c r="K71" s="30"/>
      <c r="L71" s="30"/>
      <c r="M71" s="30"/>
      <c r="N71" s="41"/>
    </row>
    <row r="72" spans="2:14" x14ac:dyDescent="0.3">
      <c r="B72" s="14">
        <f t="shared" si="2"/>
        <v>18</v>
      </c>
      <c r="C72" s="9">
        <f>IF(Tabla948[[#This Row],[CANTIDAD DE REPUESTOS]]&lt;=B28,Tabla948[[#This Row],[CANTIDAD DE REPUESTOS]]*$C$53,Tabla948[[#This Row],[CANTIDAD DE REPUESTOS]]*$C$53)</f>
        <v>2084436</v>
      </c>
      <c r="D72" s="9">
        <f>IF(Tabla948[[#This Row],[CANTIDAD DE REPUESTOS]]&lt;=B28,$C$53*$F$53*Tabla948[[#This Row],[CANTIDAD DE REPUESTOS]],$C$53*$F$53*Tabla948[[#This Row],[CANTIDAD DE REPUESTOS]])</f>
        <v>125066.16</v>
      </c>
      <c r="E72" s="9">
        <f>IF(Tabla948[[#This Row],[CANTIDAD DE REPUESTOS]]&lt;=B28,$C$53*$N$53*Tabla948[[#This Row],[CANTIDAD DE REPUESTOS]],$C$53*$N$53*Tabla948[[#This Row],[CANTIDAD DE REPUESTOS]])</f>
        <v>312665.39999999997</v>
      </c>
      <c r="F72" s="9">
        <f>IF(Tabla948[[#This Row],[CANTIDAD DE REPUESTOS]]&lt;=B28,Tabla948[[#This Row],[CANTIDAD DE REPUESTOS]]*($C$53)*($H$53+$J$53+$L$53),Tabla948[[#This Row],[CANTIDAD DE REPUESTOS]]*($C$53)*($H$53+$J$53+$L$53))</f>
        <v>312665.39999999997</v>
      </c>
      <c r="G72" s="9">
        <f>Tabla948[[#This Row],[COSTO DE COMPRA REPUESTOS]]+Tabla948[[#This Row],[COSTO DE ALMACENAMIENTO]]+Tabla948[[#This Row],[COSTO DE TRANSPORTE]]+Tabla948[[#This Row],[COSTOS DE IMPUESTOS Y OBSOLECENCIA]]</f>
        <v>2834832.96</v>
      </c>
      <c r="H72" s="30"/>
      <c r="I72" s="30"/>
      <c r="J72" s="30"/>
      <c r="K72" s="30"/>
      <c r="L72" s="30"/>
      <c r="M72" s="30"/>
      <c r="N72" s="41"/>
    </row>
    <row r="73" spans="2:14" x14ac:dyDescent="0.3">
      <c r="B73" s="14">
        <f t="shared" si="2"/>
        <v>19</v>
      </c>
      <c r="C73" s="9">
        <f>IF(Tabla948[[#This Row],[CANTIDAD DE REPUESTOS]]&lt;=B29,Tabla948[[#This Row],[CANTIDAD DE REPUESTOS]]*$C$53,Tabla948[[#This Row],[CANTIDAD DE REPUESTOS]]*$C$53)</f>
        <v>2200238</v>
      </c>
      <c r="D73" s="9">
        <f>IF(Tabla948[[#This Row],[CANTIDAD DE REPUESTOS]]&lt;=B29,$C$53*$F$53*Tabla948[[#This Row],[CANTIDAD DE REPUESTOS]],$C$53*$F$53*Tabla948[[#This Row],[CANTIDAD DE REPUESTOS]])</f>
        <v>132014.28</v>
      </c>
      <c r="E73" s="9">
        <f>IF(Tabla948[[#This Row],[CANTIDAD DE REPUESTOS]]&lt;=B29,$C$53*$N$53*Tabla948[[#This Row],[CANTIDAD DE REPUESTOS]],$C$53*$N$53*Tabla948[[#This Row],[CANTIDAD DE REPUESTOS]])</f>
        <v>330035.7</v>
      </c>
      <c r="F73" s="9">
        <f>IF(Tabla948[[#This Row],[CANTIDAD DE REPUESTOS]]&lt;=B29,Tabla948[[#This Row],[CANTIDAD DE REPUESTOS]]*($C$53)*($H$53+$J$53+$L$53),Tabla948[[#This Row],[CANTIDAD DE REPUESTOS]]*($C$53)*($H$53+$J$53+$L$53))</f>
        <v>330035.7</v>
      </c>
      <c r="G73" s="9">
        <f>Tabla948[[#This Row],[COSTO DE COMPRA REPUESTOS]]+Tabla948[[#This Row],[COSTO DE ALMACENAMIENTO]]+Tabla948[[#This Row],[COSTO DE TRANSPORTE]]+Tabla948[[#This Row],[COSTOS DE IMPUESTOS Y OBSOLECENCIA]]</f>
        <v>2992323.68</v>
      </c>
      <c r="H73" s="30"/>
      <c r="I73" s="30"/>
      <c r="J73" s="30"/>
      <c r="K73" s="30"/>
      <c r="L73" s="30"/>
      <c r="M73" s="30"/>
      <c r="N73" s="41"/>
    </row>
    <row r="74" spans="2:14" x14ac:dyDescent="0.3">
      <c r="B74" s="14">
        <f t="shared" si="2"/>
        <v>20</v>
      </c>
      <c r="C74" s="9">
        <f>IF(Tabla948[[#This Row],[CANTIDAD DE REPUESTOS]]&lt;=B30,Tabla948[[#This Row],[CANTIDAD DE REPUESTOS]]*$C$53,Tabla948[[#This Row],[CANTIDAD DE REPUESTOS]]*$C$53)</f>
        <v>2316040</v>
      </c>
      <c r="D74" s="9">
        <f>IF(Tabla948[[#This Row],[CANTIDAD DE REPUESTOS]]&lt;=B30,$C$53*$F$53*Tabla948[[#This Row],[CANTIDAD DE REPUESTOS]],$C$53*$F$53*Tabla948[[#This Row],[CANTIDAD DE REPUESTOS]])</f>
        <v>138962.4</v>
      </c>
      <c r="E74" s="9">
        <f>IF(Tabla948[[#This Row],[CANTIDAD DE REPUESTOS]]&lt;=B30,$C$53*$N$53*Tabla948[[#This Row],[CANTIDAD DE REPUESTOS]],$C$53*$N$53*Tabla948[[#This Row],[CANTIDAD DE REPUESTOS]])</f>
        <v>347406</v>
      </c>
      <c r="F74" s="9">
        <f>IF(Tabla948[[#This Row],[CANTIDAD DE REPUESTOS]]&lt;=B30,Tabla948[[#This Row],[CANTIDAD DE REPUESTOS]]*($C$53)*($H$53+$J$53+$L$53),Tabla948[[#This Row],[CANTIDAD DE REPUESTOS]]*($C$53)*($H$53+$J$53+$L$53))</f>
        <v>347406</v>
      </c>
      <c r="G74" s="9">
        <f>Tabla948[[#This Row],[COSTO DE COMPRA REPUESTOS]]+Tabla948[[#This Row],[COSTO DE ALMACENAMIENTO]]+Tabla948[[#This Row],[COSTO DE TRANSPORTE]]+Tabla948[[#This Row],[COSTOS DE IMPUESTOS Y OBSOLECENCIA]]</f>
        <v>3149814.4</v>
      </c>
      <c r="H74" s="30"/>
      <c r="I74" s="30"/>
      <c r="J74" s="30"/>
      <c r="K74" s="30"/>
      <c r="L74" s="30"/>
      <c r="M74" s="30"/>
      <c r="N74" s="41"/>
    </row>
    <row r="75" spans="2:14" x14ac:dyDescent="0.3">
      <c r="B75" s="14">
        <f t="shared" si="2"/>
        <v>21</v>
      </c>
      <c r="C75" s="9">
        <f>IF(Tabla948[[#This Row],[CANTIDAD DE REPUESTOS]]&lt;=B31,Tabla948[[#This Row],[CANTIDAD DE REPUESTOS]]*$C$53,Tabla948[[#This Row],[CANTIDAD DE REPUESTOS]]*$C$53)</f>
        <v>2431842</v>
      </c>
      <c r="D75" s="9">
        <f>IF(Tabla948[[#This Row],[CANTIDAD DE REPUESTOS]]&lt;=B31,$C$53*$F$53*Tabla948[[#This Row],[CANTIDAD DE REPUESTOS]],$C$53*$F$53*Tabla948[[#This Row],[CANTIDAD DE REPUESTOS]])</f>
        <v>145910.51999999999</v>
      </c>
      <c r="E75" s="9">
        <f>IF(Tabla948[[#This Row],[CANTIDAD DE REPUESTOS]]&lt;=B31,$C$53*$N$53*Tabla948[[#This Row],[CANTIDAD DE REPUESTOS]],$C$53*$N$53*Tabla948[[#This Row],[CANTIDAD DE REPUESTOS]])</f>
        <v>364776.3</v>
      </c>
      <c r="F75" s="9">
        <f>IF(Tabla948[[#This Row],[CANTIDAD DE REPUESTOS]]&lt;=B31,Tabla948[[#This Row],[CANTIDAD DE REPUESTOS]]*($C$53)*($H$53+$J$53+$L$53),Tabla948[[#This Row],[CANTIDAD DE REPUESTOS]]*($C$53)*($H$53+$J$53+$L$53))</f>
        <v>364776.3</v>
      </c>
      <c r="G75" s="9">
        <f>Tabla948[[#This Row],[COSTO DE COMPRA REPUESTOS]]+Tabla948[[#This Row],[COSTO DE ALMACENAMIENTO]]+Tabla948[[#This Row],[COSTO DE TRANSPORTE]]+Tabla948[[#This Row],[COSTOS DE IMPUESTOS Y OBSOLECENCIA]]</f>
        <v>3307305.1199999996</v>
      </c>
      <c r="H75" s="30"/>
      <c r="I75" s="30"/>
      <c r="J75" s="30"/>
      <c r="K75" s="30"/>
      <c r="L75" s="30"/>
      <c r="M75" s="30"/>
      <c r="N75" s="41"/>
    </row>
    <row r="76" spans="2:14" x14ac:dyDescent="0.3">
      <c r="B76" s="14">
        <f t="shared" si="2"/>
        <v>22</v>
      </c>
      <c r="C76" s="9">
        <f>IF(Tabla948[[#This Row],[CANTIDAD DE REPUESTOS]]&lt;=B32,Tabla948[[#This Row],[CANTIDAD DE REPUESTOS]]*$C$53,Tabla948[[#This Row],[CANTIDAD DE REPUESTOS]]*$C$53)</f>
        <v>2547644</v>
      </c>
      <c r="D76" s="9">
        <f>IF(Tabla948[[#This Row],[CANTIDAD DE REPUESTOS]]&lt;=B32,$C$53*$F$53*Tabla948[[#This Row],[CANTIDAD DE REPUESTOS]],$C$53*$F$53*Tabla948[[#This Row],[CANTIDAD DE REPUESTOS]])</f>
        <v>152858.63999999998</v>
      </c>
      <c r="E76" s="9">
        <f>IF(Tabla948[[#This Row],[CANTIDAD DE REPUESTOS]]&lt;=B32,$C$53*$N$53*Tabla948[[#This Row],[CANTIDAD DE REPUESTOS]],$C$53*$N$53*Tabla948[[#This Row],[CANTIDAD DE REPUESTOS]])</f>
        <v>382146.6</v>
      </c>
      <c r="F76" s="9">
        <f>IF(Tabla948[[#This Row],[CANTIDAD DE REPUESTOS]]&lt;=B32,Tabla948[[#This Row],[CANTIDAD DE REPUESTOS]]*($C$53)*($H$53+$J$53+$L$53),Tabla948[[#This Row],[CANTIDAD DE REPUESTOS]]*($C$53)*($H$53+$J$53+$L$53))</f>
        <v>382146.6</v>
      </c>
      <c r="G76" s="9">
        <f>Tabla948[[#This Row],[COSTO DE COMPRA REPUESTOS]]+Tabla948[[#This Row],[COSTO DE ALMACENAMIENTO]]+Tabla948[[#This Row],[COSTO DE TRANSPORTE]]+Tabla948[[#This Row],[COSTOS DE IMPUESTOS Y OBSOLECENCIA]]</f>
        <v>3464795.8400000003</v>
      </c>
      <c r="H76" s="30"/>
      <c r="I76" s="30"/>
      <c r="J76" s="30"/>
      <c r="K76" s="30"/>
      <c r="L76" s="30"/>
      <c r="M76" s="30"/>
      <c r="N76" s="41"/>
    </row>
    <row r="77" spans="2:14" x14ac:dyDescent="0.3">
      <c r="B77" s="14">
        <f t="shared" si="2"/>
        <v>23</v>
      </c>
      <c r="C77" s="9">
        <f>IF(Tabla948[[#This Row],[CANTIDAD DE REPUESTOS]]&lt;=B33,Tabla948[[#This Row],[CANTIDAD DE REPUESTOS]]*$C$53,Tabla948[[#This Row],[CANTIDAD DE REPUESTOS]]*$C$53)</f>
        <v>2663446</v>
      </c>
      <c r="D77" s="9">
        <f>IF(Tabla948[[#This Row],[CANTIDAD DE REPUESTOS]]&lt;=B33,$C$53*$F$53*Tabla948[[#This Row],[CANTIDAD DE REPUESTOS]],$C$53*$F$53*Tabla948[[#This Row],[CANTIDAD DE REPUESTOS]])</f>
        <v>159806.76</v>
      </c>
      <c r="E77" s="9">
        <f>IF(Tabla948[[#This Row],[CANTIDAD DE REPUESTOS]]&lt;=B33,$C$53*$N$53*Tabla948[[#This Row],[CANTIDAD DE REPUESTOS]],$C$53*$N$53*Tabla948[[#This Row],[CANTIDAD DE REPUESTOS]])</f>
        <v>399516.89999999997</v>
      </c>
      <c r="F77" s="9">
        <f>IF(Tabla948[[#This Row],[CANTIDAD DE REPUESTOS]]&lt;=B33,Tabla948[[#This Row],[CANTIDAD DE REPUESTOS]]*($C$53)*($H$53+$J$53+$L$53),Tabla948[[#This Row],[CANTIDAD DE REPUESTOS]]*($C$53)*($H$53+$J$53+$L$53))</f>
        <v>399516.89999999997</v>
      </c>
      <c r="G77" s="9">
        <f>Tabla948[[#This Row],[COSTO DE COMPRA REPUESTOS]]+Tabla948[[#This Row],[COSTO DE ALMACENAMIENTO]]+Tabla948[[#This Row],[COSTO DE TRANSPORTE]]+Tabla948[[#This Row],[COSTOS DE IMPUESTOS Y OBSOLECENCIA]]</f>
        <v>3622286.5599999996</v>
      </c>
      <c r="H77" s="30"/>
      <c r="I77" s="30"/>
      <c r="J77" s="30"/>
      <c r="K77" s="30"/>
      <c r="L77" s="30"/>
      <c r="M77" s="30"/>
      <c r="N77" s="41"/>
    </row>
    <row r="78" spans="2:14" x14ac:dyDescent="0.3">
      <c r="B78" s="14">
        <f t="shared" si="2"/>
        <v>24</v>
      </c>
      <c r="C78" s="9">
        <f>IF(Tabla948[[#This Row],[CANTIDAD DE REPUESTOS]]&lt;=B34,Tabla948[[#This Row],[CANTIDAD DE REPUESTOS]]*$C$53,Tabla948[[#This Row],[CANTIDAD DE REPUESTOS]]*$C$53)</f>
        <v>2779248</v>
      </c>
      <c r="D78" s="9">
        <f>IF(Tabla948[[#This Row],[CANTIDAD DE REPUESTOS]]&lt;=B34,$C$53*$F$53*Tabla948[[#This Row],[CANTIDAD DE REPUESTOS]],$C$53*$F$53*Tabla948[[#This Row],[CANTIDAD DE REPUESTOS]])</f>
        <v>166754.88</v>
      </c>
      <c r="E78" s="9">
        <f>IF(Tabla948[[#This Row],[CANTIDAD DE REPUESTOS]]&lt;=B34,$C$53*$N$53*Tabla948[[#This Row],[CANTIDAD DE REPUESTOS]],$C$53*$N$53*Tabla948[[#This Row],[CANTIDAD DE REPUESTOS]])</f>
        <v>416887.19999999995</v>
      </c>
      <c r="F78" s="9">
        <f>IF(Tabla948[[#This Row],[CANTIDAD DE REPUESTOS]]&lt;=B34,Tabla948[[#This Row],[CANTIDAD DE REPUESTOS]]*($C$53)*($H$53+$J$53+$L$53),Tabla948[[#This Row],[CANTIDAD DE REPUESTOS]]*($C$53)*($H$53+$J$53+$L$53))</f>
        <v>416887.2</v>
      </c>
      <c r="G78" s="9">
        <f>Tabla948[[#This Row],[COSTO DE COMPRA REPUESTOS]]+Tabla948[[#This Row],[COSTO DE ALMACENAMIENTO]]+Tabla948[[#This Row],[COSTO DE TRANSPORTE]]+Tabla948[[#This Row],[COSTOS DE IMPUESTOS Y OBSOLECENCIA]]</f>
        <v>3779777.2800000003</v>
      </c>
      <c r="H78" s="30"/>
      <c r="I78" s="30"/>
      <c r="J78" s="30"/>
      <c r="K78" s="30"/>
      <c r="L78" s="30"/>
      <c r="M78" s="30"/>
      <c r="N78" s="41"/>
    </row>
    <row r="79" spans="2:14" x14ac:dyDescent="0.3">
      <c r="B79" s="14">
        <f t="shared" si="2"/>
        <v>25</v>
      </c>
      <c r="C79" s="9">
        <f>IF(Tabla948[[#This Row],[CANTIDAD DE REPUESTOS]]&lt;=B35,Tabla948[[#This Row],[CANTIDAD DE REPUESTOS]]*$C$53,Tabla948[[#This Row],[CANTIDAD DE REPUESTOS]]*$C$53)</f>
        <v>2895050</v>
      </c>
      <c r="D79" s="9">
        <f>IF(Tabla948[[#This Row],[CANTIDAD DE REPUESTOS]]&lt;=B35,$C$53*$F$53*Tabla948[[#This Row],[CANTIDAD DE REPUESTOS]],$C$53*$F$53*Tabla948[[#This Row],[CANTIDAD DE REPUESTOS]])</f>
        <v>173703</v>
      </c>
      <c r="E79" s="9">
        <f>IF(Tabla948[[#This Row],[CANTIDAD DE REPUESTOS]]&lt;=B35,$C$53*$N$53*Tabla948[[#This Row],[CANTIDAD DE REPUESTOS]],$C$53*$N$53*Tabla948[[#This Row],[CANTIDAD DE REPUESTOS]])</f>
        <v>434257.5</v>
      </c>
      <c r="F79" s="9">
        <f>IF(Tabla948[[#This Row],[CANTIDAD DE REPUESTOS]]&lt;=B35,Tabla948[[#This Row],[CANTIDAD DE REPUESTOS]]*($C$53)*($H$53+$J$53+$L$53),Tabla948[[#This Row],[CANTIDAD DE REPUESTOS]]*($C$53)*($H$53+$J$53+$L$53))</f>
        <v>434257.5</v>
      </c>
      <c r="G79" s="9">
        <f>Tabla948[[#This Row],[COSTO DE COMPRA REPUESTOS]]+Tabla948[[#This Row],[COSTO DE ALMACENAMIENTO]]+Tabla948[[#This Row],[COSTO DE TRANSPORTE]]+Tabla948[[#This Row],[COSTOS DE IMPUESTOS Y OBSOLECENCIA]]</f>
        <v>3937268</v>
      </c>
      <c r="H79" s="30"/>
      <c r="I79" s="30"/>
      <c r="J79" s="30"/>
      <c r="K79" s="30"/>
      <c r="L79" s="30"/>
      <c r="M79" s="30"/>
      <c r="N79" s="41"/>
    </row>
    <row r="80" spans="2:14" x14ac:dyDescent="0.3">
      <c r="B80" s="14">
        <f t="shared" si="2"/>
        <v>26</v>
      </c>
      <c r="C80" s="9">
        <f>IF(Tabla948[[#This Row],[CANTIDAD DE REPUESTOS]]&lt;=B36,Tabla948[[#This Row],[CANTIDAD DE REPUESTOS]]*$C$53,Tabla948[[#This Row],[CANTIDAD DE REPUESTOS]]*$C$53)</f>
        <v>3010852</v>
      </c>
      <c r="D80" s="9">
        <f>IF(Tabla948[[#This Row],[CANTIDAD DE REPUESTOS]]&lt;=B36,$C$53*$F$53*Tabla948[[#This Row],[CANTIDAD DE REPUESTOS]],$C$53*$F$53*Tabla948[[#This Row],[CANTIDAD DE REPUESTOS]])</f>
        <v>180651.12</v>
      </c>
      <c r="E80" s="9">
        <f>IF(Tabla948[[#This Row],[CANTIDAD DE REPUESTOS]]&lt;=B36,$C$53*$N$53*Tabla948[[#This Row],[CANTIDAD DE REPUESTOS]],$C$53*$N$53*Tabla948[[#This Row],[CANTIDAD DE REPUESTOS]])</f>
        <v>451627.8</v>
      </c>
      <c r="F80" s="9">
        <f>IF(Tabla948[[#This Row],[CANTIDAD DE REPUESTOS]]&lt;=B36,Tabla948[[#This Row],[CANTIDAD DE REPUESTOS]]*($C$53)*($H$53+$J$53+$L$53),Tabla948[[#This Row],[CANTIDAD DE REPUESTOS]]*($C$53)*($H$53+$J$53+$L$53))</f>
        <v>451627.8</v>
      </c>
      <c r="G80" s="9">
        <f>Tabla948[[#This Row],[COSTO DE COMPRA REPUESTOS]]+Tabla948[[#This Row],[COSTO DE ALMACENAMIENTO]]+Tabla948[[#This Row],[COSTO DE TRANSPORTE]]+Tabla948[[#This Row],[COSTOS DE IMPUESTOS Y OBSOLECENCIA]]</f>
        <v>4094758.7199999997</v>
      </c>
      <c r="H80" s="30"/>
      <c r="I80" s="30"/>
      <c r="J80" s="30"/>
      <c r="K80" s="30"/>
      <c r="L80" s="30"/>
      <c r="M80" s="30"/>
      <c r="N80" s="41"/>
    </row>
    <row r="81" spans="2:14" x14ac:dyDescent="0.3">
      <c r="B81" s="14">
        <f t="shared" si="2"/>
        <v>27</v>
      </c>
      <c r="C81" s="9">
        <f>IF(Tabla948[[#This Row],[CANTIDAD DE REPUESTOS]]&lt;=B37,Tabla948[[#This Row],[CANTIDAD DE REPUESTOS]]*$C$53,Tabla948[[#This Row],[CANTIDAD DE REPUESTOS]]*$C$53)</f>
        <v>3126654</v>
      </c>
      <c r="D81" s="9">
        <f>IF(Tabla948[[#This Row],[CANTIDAD DE REPUESTOS]]&lt;=B37,$C$53*$F$53*Tabla948[[#This Row],[CANTIDAD DE REPUESTOS]],$C$53*$F$53*Tabla948[[#This Row],[CANTIDAD DE REPUESTOS]])</f>
        <v>187599.24</v>
      </c>
      <c r="E81" s="9">
        <f>IF(Tabla948[[#This Row],[CANTIDAD DE REPUESTOS]]&lt;=B37,$C$53*$N$53*Tabla948[[#This Row],[CANTIDAD DE REPUESTOS]],$C$53*$N$53*Tabla948[[#This Row],[CANTIDAD DE REPUESTOS]])</f>
        <v>468998.1</v>
      </c>
      <c r="F81" s="9">
        <f>IF(Tabla948[[#This Row],[CANTIDAD DE REPUESTOS]]&lt;=B37,Tabla948[[#This Row],[CANTIDAD DE REPUESTOS]]*($C$53)*($H$53+$J$53+$L$53),Tabla948[[#This Row],[CANTIDAD DE REPUESTOS]]*($C$53)*($H$53+$J$53+$L$53))</f>
        <v>468998.1</v>
      </c>
      <c r="G81" s="9">
        <f>Tabla948[[#This Row],[COSTO DE COMPRA REPUESTOS]]+Tabla948[[#This Row],[COSTO DE ALMACENAMIENTO]]+Tabla948[[#This Row],[COSTO DE TRANSPORTE]]+Tabla948[[#This Row],[COSTOS DE IMPUESTOS Y OBSOLECENCIA]]</f>
        <v>4252249.4400000004</v>
      </c>
      <c r="H81" s="30"/>
      <c r="I81" s="30"/>
      <c r="J81" s="30"/>
      <c r="K81" s="30"/>
      <c r="L81" s="30"/>
      <c r="M81" s="30"/>
      <c r="N81" s="41"/>
    </row>
    <row r="82" spans="2:14" x14ac:dyDescent="0.3">
      <c r="B82" s="14">
        <f t="shared" si="2"/>
        <v>28</v>
      </c>
      <c r="C82" s="9">
        <f>IF(Tabla948[[#This Row],[CANTIDAD DE REPUESTOS]]&lt;=B38,Tabla948[[#This Row],[CANTIDAD DE REPUESTOS]]*$C$53,Tabla948[[#This Row],[CANTIDAD DE REPUESTOS]]*$C$53)</f>
        <v>3242456</v>
      </c>
      <c r="D82" s="9">
        <f>IF(Tabla948[[#This Row],[CANTIDAD DE REPUESTOS]]&lt;=B38,$C$53*$F$53*Tabla948[[#This Row],[CANTIDAD DE REPUESTOS]],$C$53*$F$53*Tabla948[[#This Row],[CANTIDAD DE REPUESTOS]])</f>
        <v>194547.36</v>
      </c>
      <c r="E82" s="9">
        <f>IF(Tabla948[[#This Row],[CANTIDAD DE REPUESTOS]]&lt;=B38,$C$53*$N$53*Tabla948[[#This Row],[CANTIDAD DE REPUESTOS]],$C$53*$N$53*Tabla948[[#This Row],[CANTIDAD DE REPUESTOS]])</f>
        <v>486368.39999999997</v>
      </c>
      <c r="F82" s="9">
        <f>IF(Tabla948[[#This Row],[CANTIDAD DE REPUESTOS]]&lt;=B38,Tabla948[[#This Row],[CANTIDAD DE REPUESTOS]]*($C$53)*($H$53+$J$53+$L$53),Tabla948[[#This Row],[CANTIDAD DE REPUESTOS]]*($C$53)*($H$53+$J$53+$L$53))</f>
        <v>486368.39999999997</v>
      </c>
      <c r="G82" s="9">
        <f>Tabla948[[#This Row],[COSTO DE COMPRA REPUESTOS]]+Tabla948[[#This Row],[COSTO DE ALMACENAMIENTO]]+Tabla948[[#This Row],[COSTO DE TRANSPORTE]]+Tabla948[[#This Row],[COSTOS DE IMPUESTOS Y OBSOLECENCIA]]</f>
        <v>4409740.16</v>
      </c>
      <c r="H82" s="30"/>
      <c r="I82" s="30"/>
      <c r="J82" s="30"/>
      <c r="K82" s="30"/>
      <c r="L82" s="30"/>
      <c r="M82" s="30"/>
      <c r="N82" s="41"/>
    </row>
    <row r="83" spans="2:14" x14ac:dyDescent="0.3">
      <c r="B83" s="14">
        <f t="shared" si="2"/>
        <v>29</v>
      </c>
      <c r="C83" s="9">
        <f>IF(Tabla948[[#This Row],[CANTIDAD DE REPUESTOS]]&lt;=B39,Tabla948[[#This Row],[CANTIDAD DE REPUESTOS]]*$C$53,Tabla948[[#This Row],[CANTIDAD DE REPUESTOS]]*$C$53)</f>
        <v>3358258</v>
      </c>
      <c r="D83" s="9">
        <f>IF(Tabla948[[#This Row],[CANTIDAD DE REPUESTOS]]&lt;=B39,$C$53*$F$53*Tabla948[[#This Row],[CANTIDAD DE REPUESTOS]],$C$53*$F$53*Tabla948[[#This Row],[CANTIDAD DE REPUESTOS]])</f>
        <v>201495.48</v>
      </c>
      <c r="E83" s="9">
        <f>IF(Tabla948[[#This Row],[CANTIDAD DE REPUESTOS]]&lt;=B39,$C$53*$N$53*Tabla948[[#This Row],[CANTIDAD DE REPUESTOS]],$C$53*$N$53*Tabla948[[#This Row],[CANTIDAD DE REPUESTOS]])</f>
        <v>503738.69999999995</v>
      </c>
      <c r="F83" s="9">
        <f>IF(Tabla948[[#This Row],[CANTIDAD DE REPUESTOS]]&lt;=B39,Tabla948[[#This Row],[CANTIDAD DE REPUESTOS]]*($C$53)*($H$53+$J$53+$L$53),Tabla948[[#This Row],[CANTIDAD DE REPUESTOS]]*($C$53)*($H$53+$J$53+$L$53))</f>
        <v>503738.69999999995</v>
      </c>
      <c r="G83" s="9">
        <f>Tabla948[[#This Row],[COSTO DE COMPRA REPUESTOS]]+Tabla948[[#This Row],[COSTO DE ALMACENAMIENTO]]+Tabla948[[#This Row],[COSTO DE TRANSPORTE]]+Tabla948[[#This Row],[COSTOS DE IMPUESTOS Y OBSOLECENCIA]]</f>
        <v>4567230.88</v>
      </c>
      <c r="H83" s="30"/>
      <c r="I83" s="30"/>
      <c r="J83" s="30"/>
      <c r="K83" s="30"/>
      <c r="L83" s="30"/>
      <c r="M83" s="30"/>
      <c r="N83" s="41"/>
    </row>
    <row r="84" spans="2:14" x14ac:dyDescent="0.3">
      <c r="B84" s="14">
        <f t="shared" si="2"/>
        <v>30</v>
      </c>
      <c r="C84" s="9">
        <f>IF(Tabla948[[#This Row],[CANTIDAD DE REPUESTOS]]&lt;=B40,Tabla948[[#This Row],[CANTIDAD DE REPUESTOS]]*$C$53,Tabla948[[#This Row],[CANTIDAD DE REPUESTOS]]*$C$53)</f>
        <v>3474060</v>
      </c>
      <c r="D84" s="9">
        <f>IF(Tabla948[[#This Row],[CANTIDAD DE REPUESTOS]]&lt;=B40,$C$53*$F$53*Tabla948[[#This Row],[CANTIDAD DE REPUESTOS]],$C$53*$F$53*Tabla948[[#This Row],[CANTIDAD DE REPUESTOS]])</f>
        <v>208443.6</v>
      </c>
      <c r="E84" s="9">
        <f>IF(Tabla948[[#This Row],[CANTIDAD DE REPUESTOS]]&lt;=B40,$C$53*$N$53*Tabla948[[#This Row],[CANTIDAD DE REPUESTOS]],$C$53*$N$53*Tabla948[[#This Row],[CANTIDAD DE REPUESTOS]])</f>
        <v>521109</v>
      </c>
      <c r="F84" s="9">
        <f>IF(Tabla948[[#This Row],[CANTIDAD DE REPUESTOS]]&lt;=B40,Tabla948[[#This Row],[CANTIDAD DE REPUESTOS]]*($C$53)*($H$53+$J$53+$L$53),Tabla948[[#This Row],[CANTIDAD DE REPUESTOS]]*($C$53)*($H$53+$J$53+$L$53))</f>
        <v>521109</v>
      </c>
      <c r="G84" s="9">
        <f>Tabla948[[#This Row],[COSTO DE COMPRA REPUESTOS]]+Tabla948[[#This Row],[COSTO DE ALMACENAMIENTO]]+Tabla948[[#This Row],[COSTO DE TRANSPORTE]]+Tabla948[[#This Row],[COSTOS DE IMPUESTOS Y OBSOLECENCIA]]</f>
        <v>4724721.5999999996</v>
      </c>
      <c r="H84" s="30"/>
      <c r="I84" s="30"/>
      <c r="J84" s="30"/>
      <c r="K84" s="30"/>
      <c r="L84" s="30"/>
      <c r="M84" s="30"/>
      <c r="N84" s="41"/>
    </row>
    <row r="85" spans="2:14" x14ac:dyDescent="0.3">
      <c r="B85" s="14">
        <f t="shared" si="2"/>
        <v>31</v>
      </c>
      <c r="C85" s="9">
        <f>IF(Tabla948[[#This Row],[CANTIDAD DE REPUESTOS]]&lt;=B41,Tabla948[[#This Row],[CANTIDAD DE REPUESTOS]]*$C$53,Tabla948[[#This Row],[CANTIDAD DE REPUESTOS]]*$C$53)</f>
        <v>3589862</v>
      </c>
      <c r="D85" s="9">
        <f>IF(Tabla948[[#This Row],[CANTIDAD DE REPUESTOS]]&lt;=B41,$C$53*$F$53*Tabla948[[#This Row],[CANTIDAD DE REPUESTOS]],$C$53*$F$53*Tabla948[[#This Row],[CANTIDAD DE REPUESTOS]])</f>
        <v>215391.72</v>
      </c>
      <c r="E85" s="9">
        <f>IF(Tabla948[[#This Row],[CANTIDAD DE REPUESTOS]]&lt;=B41,$C$53*$N$53*Tabla948[[#This Row],[CANTIDAD DE REPUESTOS]],$C$53*$N$53*Tabla948[[#This Row],[CANTIDAD DE REPUESTOS]])</f>
        <v>538479.29999999993</v>
      </c>
      <c r="F85" s="9">
        <f>IF(Tabla948[[#This Row],[CANTIDAD DE REPUESTOS]]&lt;=B41,Tabla948[[#This Row],[CANTIDAD DE REPUESTOS]]*($C$53)*($H$53+$J$53+$L$53),Tabla948[[#This Row],[CANTIDAD DE REPUESTOS]]*($C$53)*($H$53+$J$53+$L$53))</f>
        <v>538479.29999999993</v>
      </c>
      <c r="G85" s="9">
        <f>Tabla948[[#This Row],[COSTO DE COMPRA REPUESTOS]]+Tabla948[[#This Row],[COSTO DE ALMACENAMIENTO]]+Tabla948[[#This Row],[COSTO DE TRANSPORTE]]+Tabla948[[#This Row],[COSTOS DE IMPUESTOS Y OBSOLECENCIA]]</f>
        <v>4882212.32</v>
      </c>
      <c r="H85" s="30"/>
      <c r="I85" s="30"/>
      <c r="J85" s="30"/>
      <c r="K85" s="30"/>
      <c r="L85" s="30"/>
      <c r="M85" s="30"/>
      <c r="N85" s="41"/>
    </row>
    <row r="86" spans="2:14" x14ac:dyDescent="0.3">
      <c r="B86" s="14">
        <f t="shared" si="2"/>
        <v>32</v>
      </c>
      <c r="C86" s="9">
        <f>IF(Tabla948[[#This Row],[CANTIDAD DE REPUESTOS]]&lt;=B42,Tabla948[[#This Row],[CANTIDAD DE REPUESTOS]]*$C$53,Tabla948[[#This Row],[CANTIDAD DE REPUESTOS]]*$C$53)</f>
        <v>3705664</v>
      </c>
      <c r="D86" s="9">
        <f>IF(Tabla948[[#This Row],[CANTIDAD DE REPUESTOS]]&lt;=B42,$C$53*$F$53*Tabla948[[#This Row],[CANTIDAD DE REPUESTOS]],$C$53*$F$53*Tabla948[[#This Row],[CANTIDAD DE REPUESTOS]])</f>
        <v>222339.84</v>
      </c>
      <c r="E86" s="9">
        <f>IF(Tabla948[[#This Row],[CANTIDAD DE REPUESTOS]]&lt;=B42,$C$53*$N$53*Tabla948[[#This Row],[CANTIDAD DE REPUESTOS]],$C$53*$N$53*Tabla948[[#This Row],[CANTIDAD DE REPUESTOS]])</f>
        <v>555849.6</v>
      </c>
      <c r="F86" s="9">
        <f>IF(Tabla948[[#This Row],[CANTIDAD DE REPUESTOS]]&lt;=B42,Tabla948[[#This Row],[CANTIDAD DE REPUESTOS]]*($C$53)*($H$53+$J$53+$L$53),Tabla948[[#This Row],[CANTIDAD DE REPUESTOS]]*($C$53)*($H$53+$J$53+$L$53))</f>
        <v>555849.6</v>
      </c>
      <c r="G86" s="9">
        <f>Tabla948[[#This Row],[COSTO DE COMPRA REPUESTOS]]+Tabla948[[#This Row],[COSTO DE ALMACENAMIENTO]]+Tabla948[[#This Row],[COSTO DE TRANSPORTE]]+Tabla948[[#This Row],[COSTOS DE IMPUESTOS Y OBSOLECENCIA]]</f>
        <v>5039703.0399999991</v>
      </c>
      <c r="H86" s="30"/>
      <c r="I86" s="30"/>
      <c r="J86" s="30"/>
      <c r="K86" s="30"/>
      <c r="L86" s="30"/>
      <c r="M86" s="30"/>
      <c r="N86" s="41"/>
    </row>
    <row r="87" spans="2:14" x14ac:dyDescent="0.3">
      <c r="B87" s="14">
        <f t="shared" si="2"/>
        <v>33</v>
      </c>
      <c r="C87" s="9">
        <f>IF(Tabla948[[#This Row],[CANTIDAD DE REPUESTOS]]&lt;=B43,Tabla948[[#This Row],[CANTIDAD DE REPUESTOS]]*$C$53,Tabla948[[#This Row],[CANTIDAD DE REPUESTOS]]*$C$53)</f>
        <v>3821466</v>
      </c>
      <c r="D87" s="9">
        <f>IF(Tabla948[[#This Row],[CANTIDAD DE REPUESTOS]]&lt;=B43,$C$53*$F$53*Tabla948[[#This Row],[CANTIDAD DE REPUESTOS]],$C$53*$F$53*Tabla948[[#This Row],[CANTIDAD DE REPUESTOS]])</f>
        <v>229287.96</v>
      </c>
      <c r="E87" s="9">
        <f>IF(Tabla948[[#This Row],[CANTIDAD DE REPUESTOS]]&lt;=B43,$C$53*$N$53*Tabla948[[#This Row],[CANTIDAD DE REPUESTOS]],$C$53*$N$53*Tabla948[[#This Row],[CANTIDAD DE REPUESTOS]])</f>
        <v>573219.9</v>
      </c>
      <c r="F87" s="9">
        <f>IF(Tabla948[[#This Row],[CANTIDAD DE REPUESTOS]]&lt;=B43,Tabla948[[#This Row],[CANTIDAD DE REPUESTOS]]*($C$53)*($H$53+$J$53+$L$53),Tabla948[[#This Row],[CANTIDAD DE REPUESTOS]]*($C$53)*($H$53+$J$53+$L$53))</f>
        <v>573219.9</v>
      </c>
      <c r="G87" s="9">
        <f>Tabla948[[#This Row],[COSTO DE COMPRA REPUESTOS]]+Tabla948[[#This Row],[COSTO DE ALMACENAMIENTO]]+Tabla948[[#This Row],[COSTO DE TRANSPORTE]]+Tabla948[[#This Row],[COSTOS DE IMPUESTOS Y OBSOLECENCIA]]</f>
        <v>5197193.7600000007</v>
      </c>
      <c r="H87" s="30"/>
      <c r="I87" s="30"/>
      <c r="J87" s="30"/>
      <c r="K87" s="30"/>
      <c r="L87" s="30"/>
      <c r="M87" s="30"/>
      <c r="N87" s="41"/>
    </row>
    <row r="88" spans="2:14" x14ac:dyDescent="0.3">
      <c r="B88" s="14">
        <f t="shared" si="2"/>
        <v>34</v>
      </c>
      <c r="C88" s="9">
        <f>IF(Tabla948[[#This Row],[CANTIDAD DE REPUESTOS]]&lt;=B44,Tabla948[[#This Row],[CANTIDAD DE REPUESTOS]]*$C$53,Tabla948[[#This Row],[CANTIDAD DE REPUESTOS]]*$C$53)</f>
        <v>3937268</v>
      </c>
      <c r="D88" s="9">
        <f>IF(Tabla948[[#This Row],[CANTIDAD DE REPUESTOS]]&lt;=B44,$C$53*$F$53*Tabla948[[#This Row],[CANTIDAD DE REPUESTOS]],$C$53*$F$53*Tabla948[[#This Row],[CANTIDAD DE REPUESTOS]])</f>
        <v>236236.08</v>
      </c>
      <c r="E88" s="9">
        <f>IF(Tabla948[[#This Row],[CANTIDAD DE REPUESTOS]]&lt;=B44,$C$53*$N$53*Tabla948[[#This Row],[CANTIDAD DE REPUESTOS]],$C$53*$N$53*Tabla948[[#This Row],[CANTIDAD DE REPUESTOS]])</f>
        <v>590590.19999999995</v>
      </c>
      <c r="F88" s="9">
        <f>IF(Tabla948[[#This Row],[CANTIDAD DE REPUESTOS]]&lt;=B44,Tabla948[[#This Row],[CANTIDAD DE REPUESTOS]]*($C$53)*($H$53+$J$53+$L$53),Tabla948[[#This Row],[CANTIDAD DE REPUESTOS]]*($C$53)*($H$53+$J$53+$L$53))</f>
        <v>590590.19999999995</v>
      </c>
      <c r="G88" s="9">
        <f>Tabla948[[#This Row],[COSTO DE COMPRA REPUESTOS]]+Tabla948[[#This Row],[COSTO DE ALMACENAMIENTO]]+Tabla948[[#This Row],[COSTO DE TRANSPORTE]]+Tabla948[[#This Row],[COSTOS DE IMPUESTOS Y OBSOLECENCIA]]</f>
        <v>5354684.4800000004</v>
      </c>
      <c r="H88" s="30"/>
      <c r="I88" s="30"/>
      <c r="J88" s="30"/>
      <c r="K88" s="30"/>
      <c r="L88" s="30"/>
      <c r="M88" s="30"/>
      <c r="N88" s="41"/>
    </row>
    <row r="89" spans="2:14" x14ac:dyDescent="0.3">
      <c r="B89" s="14">
        <f t="shared" si="2"/>
        <v>35</v>
      </c>
      <c r="C89" s="9">
        <f>IF(Tabla948[[#This Row],[CANTIDAD DE REPUESTOS]]&lt;=B45,Tabla948[[#This Row],[CANTIDAD DE REPUESTOS]]*$C$53,Tabla948[[#This Row],[CANTIDAD DE REPUESTOS]]*$C$53)</f>
        <v>4053070</v>
      </c>
      <c r="D89" s="9">
        <f>IF(Tabla948[[#This Row],[CANTIDAD DE REPUESTOS]]&lt;=B45,$C$53*$F$53*Tabla948[[#This Row],[CANTIDAD DE REPUESTOS]],$C$53*$F$53*Tabla948[[#This Row],[CANTIDAD DE REPUESTOS]])</f>
        <v>243184.19999999998</v>
      </c>
      <c r="E89" s="9">
        <f>IF(Tabla948[[#This Row],[CANTIDAD DE REPUESTOS]]&lt;=B45,$C$53*$N$53*Tabla948[[#This Row],[CANTIDAD DE REPUESTOS]],$C$53*$N$53*Tabla948[[#This Row],[CANTIDAD DE REPUESTOS]])</f>
        <v>607960.5</v>
      </c>
      <c r="F89" s="9">
        <f>IF(Tabla948[[#This Row],[CANTIDAD DE REPUESTOS]]&lt;=B45,Tabla948[[#This Row],[CANTIDAD DE REPUESTOS]]*($C$53)*($H$53+$J$53+$L$53),Tabla948[[#This Row],[CANTIDAD DE REPUESTOS]]*($C$53)*($H$53+$J$53+$L$53))</f>
        <v>607960.5</v>
      </c>
      <c r="G89" s="9">
        <f>Tabla948[[#This Row],[COSTO DE COMPRA REPUESTOS]]+Tabla948[[#This Row],[COSTO DE ALMACENAMIENTO]]+Tabla948[[#This Row],[COSTO DE TRANSPORTE]]+Tabla948[[#This Row],[COSTOS DE IMPUESTOS Y OBSOLECENCIA]]</f>
        <v>5512175.2000000002</v>
      </c>
      <c r="H89" s="30"/>
      <c r="I89" s="30"/>
      <c r="J89" s="30"/>
      <c r="K89" s="30"/>
      <c r="L89" s="30"/>
      <c r="M89" s="30"/>
      <c r="N89" s="41"/>
    </row>
    <row r="90" spans="2:14" x14ac:dyDescent="0.3">
      <c r="B90" s="14">
        <f>B89+1</f>
        <v>36</v>
      </c>
      <c r="C90" s="9">
        <f>IF(Tabla948[[#This Row],[CANTIDAD DE REPUESTOS]]&lt;=B46,Tabla948[[#This Row],[CANTIDAD DE REPUESTOS]]*$C$53,Tabla948[[#This Row],[CANTIDAD DE REPUESTOS]]*$C$53)</f>
        <v>4168872</v>
      </c>
      <c r="D90" s="9">
        <f>IF(Tabla948[[#This Row],[CANTIDAD DE REPUESTOS]]&lt;=B46,$C$53*$F$53*Tabla948[[#This Row],[CANTIDAD DE REPUESTOS]],$C$53*$F$53*Tabla948[[#This Row],[CANTIDAD DE REPUESTOS]])</f>
        <v>250132.32</v>
      </c>
      <c r="E90" s="9">
        <f>IF(Tabla948[[#This Row],[CANTIDAD DE REPUESTOS]]&lt;=B46,$C$53*$N$53*Tabla948[[#This Row],[CANTIDAD DE REPUESTOS]],$C$53*$N$53*Tabla948[[#This Row],[CANTIDAD DE REPUESTOS]])</f>
        <v>625330.79999999993</v>
      </c>
      <c r="F90" s="9">
        <f>IF(Tabla948[[#This Row],[CANTIDAD DE REPUESTOS]]&lt;=B46,Tabla948[[#This Row],[CANTIDAD DE REPUESTOS]]*($C$53)*($H$53+$J$53+$L$53),Tabla948[[#This Row],[CANTIDAD DE REPUESTOS]]*($C$53)*($H$53+$J$53+$L$53))</f>
        <v>625330.79999999993</v>
      </c>
      <c r="G90" s="9">
        <f>Tabla948[[#This Row],[COSTO DE COMPRA REPUESTOS]]+Tabla948[[#This Row],[COSTO DE ALMACENAMIENTO]]+Tabla948[[#This Row],[COSTO DE TRANSPORTE]]+Tabla948[[#This Row],[COSTOS DE IMPUESTOS Y OBSOLECENCIA]]</f>
        <v>5669665.9199999999</v>
      </c>
      <c r="H90" s="30"/>
      <c r="I90" s="30"/>
      <c r="J90" s="30"/>
      <c r="K90" s="30"/>
      <c r="L90" s="30"/>
      <c r="M90" s="30"/>
      <c r="N90" s="41"/>
    </row>
    <row r="91" spans="2:14" x14ac:dyDescent="0.3">
      <c r="B91" s="14">
        <f t="shared" si="2"/>
        <v>37</v>
      </c>
      <c r="C91" s="9">
        <f>IF(Tabla948[[#This Row],[CANTIDAD DE REPUESTOS]]&lt;=B47,Tabla948[[#This Row],[CANTIDAD DE REPUESTOS]]*$C$53,Tabla948[[#This Row],[CANTIDAD DE REPUESTOS]]*$C$53)</f>
        <v>4284674</v>
      </c>
      <c r="D91" s="9">
        <f>IF(Tabla948[[#This Row],[CANTIDAD DE REPUESTOS]]&lt;=B47,$C$53*$F$53*Tabla948[[#This Row],[CANTIDAD DE REPUESTOS]],$C$53*$F$53*Tabla948[[#This Row],[CANTIDAD DE REPUESTOS]])</f>
        <v>257080.44</v>
      </c>
      <c r="E91" s="9">
        <f>IF(Tabla948[[#This Row],[CANTIDAD DE REPUESTOS]]&lt;=B47,$C$53*$N$53*Tabla948[[#This Row],[CANTIDAD DE REPUESTOS]],$C$53*$N$53*Tabla948[[#This Row],[CANTIDAD DE REPUESTOS]])</f>
        <v>642701.1</v>
      </c>
      <c r="F91" s="9">
        <f>IF(Tabla948[[#This Row],[CANTIDAD DE REPUESTOS]]&lt;=B47,Tabla948[[#This Row],[CANTIDAD DE REPUESTOS]]*($C$53)*($H$53+$J$53+$L$53),Tabla948[[#This Row],[CANTIDAD DE REPUESTOS]]*($C$53)*($H$53+$J$53+$L$53))</f>
        <v>642701.1</v>
      </c>
      <c r="G91" s="9">
        <f>Tabla948[[#This Row],[COSTO DE COMPRA REPUESTOS]]+Tabla948[[#This Row],[COSTO DE ALMACENAMIENTO]]+Tabla948[[#This Row],[COSTO DE TRANSPORTE]]+Tabla948[[#This Row],[COSTOS DE IMPUESTOS Y OBSOLECENCIA]]</f>
        <v>5827156.6399999997</v>
      </c>
      <c r="H91" s="30"/>
      <c r="I91" s="30"/>
      <c r="J91" s="30"/>
      <c r="K91" s="30"/>
      <c r="L91" s="30"/>
      <c r="M91" s="30"/>
      <c r="N91" s="41"/>
    </row>
    <row r="92" spans="2:14" x14ac:dyDescent="0.3">
      <c r="B92" s="14">
        <f t="shared" si="2"/>
        <v>38</v>
      </c>
      <c r="C92" s="9">
        <f>IF(Tabla948[[#This Row],[CANTIDAD DE REPUESTOS]]&lt;=B48,Tabla948[[#This Row],[CANTIDAD DE REPUESTOS]]*$C$53,Tabla948[[#This Row],[CANTIDAD DE REPUESTOS]]*$C$53)</f>
        <v>4400476</v>
      </c>
      <c r="D92" s="9">
        <f>IF(Tabla948[[#This Row],[CANTIDAD DE REPUESTOS]]&lt;=B48,$C$53*$F$53*Tabla948[[#This Row],[CANTIDAD DE REPUESTOS]],$C$53*$F$53*Tabla948[[#This Row],[CANTIDAD DE REPUESTOS]])</f>
        <v>264028.56</v>
      </c>
      <c r="E92" s="9">
        <f>IF(Tabla948[[#This Row],[CANTIDAD DE REPUESTOS]]&lt;=B48,$C$53*$N$53*Tabla948[[#This Row],[CANTIDAD DE REPUESTOS]],$C$53*$N$53*Tabla948[[#This Row],[CANTIDAD DE REPUESTOS]])</f>
        <v>660071.4</v>
      </c>
      <c r="F92" s="9">
        <f>IF(Tabla948[[#This Row],[CANTIDAD DE REPUESTOS]]&lt;=B48,Tabla948[[#This Row],[CANTIDAD DE REPUESTOS]]*($C$53)*($H$53+$J$53+$L$53),Tabla948[[#This Row],[CANTIDAD DE REPUESTOS]]*($C$53)*($H$53+$J$53+$L$53))</f>
        <v>660071.4</v>
      </c>
      <c r="G92" s="9">
        <f>Tabla948[[#This Row],[COSTO DE COMPRA REPUESTOS]]+Tabla948[[#This Row],[COSTO DE ALMACENAMIENTO]]+Tabla948[[#This Row],[COSTO DE TRANSPORTE]]+Tabla948[[#This Row],[COSTOS DE IMPUESTOS Y OBSOLECENCIA]]</f>
        <v>5984647.3600000003</v>
      </c>
      <c r="H92" s="30"/>
      <c r="I92" s="30"/>
      <c r="J92" s="30"/>
      <c r="K92" s="30"/>
      <c r="L92" s="30"/>
      <c r="M92" s="30"/>
      <c r="N92" s="41"/>
    </row>
    <row r="93" spans="2:14" x14ac:dyDescent="0.3">
      <c r="B93" s="14">
        <f t="shared" si="2"/>
        <v>39</v>
      </c>
      <c r="C93" s="9">
        <f>IF(Tabla948[[#This Row],[CANTIDAD DE REPUESTOS]]&lt;=B49,Tabla948[[#This Row],[CANTIDAD DE REPUESTOS]]*$C$53,Tabla948[[#This Row],[CANTIDAD DE REPUESTOS]]*$C$53)</f>
        <v>4516278</v>
      </c>
      <c r="D93" s="9">
        <f>IF(Tabla948[[#This Row],[CANTIDAD DE REPUESTOS]]&lt;=B49,$C$53*$F$53*Tabla948[[#This Row],[CANTIDAD DE REPUESTOS]],$C$53*$F$53*Tabla948[[#This Row],[CANTIDAD DE REPUESTOS]])</f>
        <v>270976.68</v>
      </c>
      <c r="E93" s="9">
        <f>IF(Tabla948[[#This Row],[CANTIDAD DE REPUESTOS]]&lt;=B49,$C$53*$N$53*Tabla948[[#This Row],[CANTIDAD DE REPUESTOS]],$C$53*$N$53*Tabla948[[#This Row],[CANTIDAD DE REPUESTOS]])</f>
        <v>677441.7</v>
      </c>
      <c r="F93" s="9">
        <f>IF(Tabla948[[#This Row],[CANTIDAD DE REPUESTOS]]&lt;=B49,Tabla948[[#This Row],[CANTIDAD DE REPUESTOS]]*($C$53)*($H$53+$J$53+$L$53),Tabla948[[#This Row],[CANTIDAD DE REPUESTOS]]*($C$53)*($H$53+$J$53+$L$53))</f>
        <v>677441.7</v>
      </c>
      <c r="G93" s="9">
        <f>Tabla948[[#This Row],[COSTO DE COMPRA REPUESTOS]]+Tabla948[[#This Row],[COSTO DE ALMACENAMIENTO]]+Tabla948[[#This Row],[COSTO DE TRANSPORTE]]+Tabla948[[#This Row],[COSTOS DE IMPUESTOS Y OBSOLECENCIA]]</f>
        <v>6142138.0800000001</v>
      </c>
      <c r="H93" s="30"/>
      <c r="I93" s="30"/>
      <c r="J93" s="30"/>
      <c r="K93" s="30"/>
      <c r="L93" s="30"/>
      <c r="M93" s="30"/>
      <c r="N93" s="41"/>
    </row>
    <row r="94" spans="2:14" x14ac:dyDescent="0.3">
      <c r="B94" s="14">
        <f>B93+1</f>
        <v>40</v>
      </c>
      <c r="C94" s="9">
        <f>IF(Tabla948[[#This Row],[CANTIDAD DE REPUESTOS]]&lt;=B50,Tabla948[[#This Row],[CANTIDAD DE REPUESTOS]]*$C$53,Tabla948[[#This Row],[CANTIDAD DE REPUESTOS]]*$C$53)</f>
        <v>4632080</v>
      </c>
      <c r="D94" s="9">
        <f>IF(Tabla948[[#This Row],[CANTIDAD DE REPUESTOS]]&lt;=B50,$C$53*$F$53*Tabla948[[#This Row],[CANTIDAD DE REPUESTOS]],$C$53*$F$53*Tabla948[[#This Row],[CANTIDAD DE REPUESTOS]])</f>
        <v>277924.8</v>
      </c>
      <c r="E94" s="9">
        <f>IF(Tabla948[[#This Row],[CANTIDAD DE REPUESTOS]]&lt;=B50,$C$53*$N$53*Tabla948[[#This Row],[CANTIDAD DE REPUESTOS]],$C$53*$N$53*Tabla948[[#This Row],[CANTIDAD DE REPUESTOS]])</f>
        <v>694812</v>
      </c>
      <c r="F94" s="9">
        <f>IF(Tabla948[[#This Row],[CANTIDAD DE REPUESTOS]]&lt;=B50,Tabla948[[#This Row],[CANTIDAD DE REPUESTOS]]*($C$53)*($H$53+$J$53+$L$53),Tabla948[[#This Row],[CANTIDAD DE REPUESTOS]]*($C$53)*($H$53+$J$53+$L$53))</f>
        <v>694812</v>
      </c>
      <c r="G94" s="9">
        <f>Tabla948[[#This Row],[COSTO DE COMPRA REPUESTOS]]+Tabla948[[#This Row],[COSTO DE ALMACENAMIENTO]]+Tabla948[[#This Row],[COSTO DE TRANSPORTE]]+Tabla948[[#This Row],[COSTOS DE IMPUESTOS Y OBSOLECENCIA]]</f>
        <v>6299628.7999999998</v>
      </c>
      <c r="H94" s="30"/>
      <c r="I94" s="30"/>
      <c r="J94" s="30"/>
      <c r="K94" s="30"/>
      <c r="L94" s="30"/>
      <c r="M94" s="30"/>
      <c r="N94" s="41"/>
    </row>
    <row r="95" spans="2:14" ht="21" x14ac:dyDescent="0.3">
      <c r="B95" s="42" t="s">
        <v>54</v>
      </c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4"/>
    </row>
    <row r="96" spans="2:14" ht="105" customHeight="1" x14ac:dyDescent="0.3">
      <c r="B96" s="45" t="s">
        <v>55</v>
      </c>
      <c r="C96" s="46"/>
      <c r="D96" s="46"/>
      <c r="E96" s="17" t="s">
        <v>37</v>
      </c>
      <c r="F96" s="18" t="s">
        <v>41</v>
      </c>
      <c r="G96" s="19" t="s">
        <v>57</v>
      </c>
      <c r="H96" s="30"/>
      <c r="I96" s="30"/>
      <c r="J96" s="30"/>
      <c r="K96" s="30"/>
      <c r="L96" s="30"/>
      <c r="M96" s="30"/>
      <c r="N96" s="41"/>
    </row>
    <row r="97" spans="2:19" x14ac:dyDescent="0.3">
      <c r="B97" s="47" t="s">
        <v>56</v>
      </c>
      <c r="C97" s="48"/>
      <c r="D97" s="48"/>
      <c r="E97" s="10">
        <v>1</v>
      </c>
      <c r="F97" s="3">
        <f>IF(E97&lt;=B11,100-G11,100-G11)</f>
        <v>93.701130417250937</v>
      </c>
      <c r="G97" s="16">
        <f>IF(E97&lt;=B11,(F97/100)*($D$115+$D$125+$D$133+$D$135),(F97/100)*($D$115+$D$125+$D$133+$D$135))</f>
        <v>42654628.588540971</v>
      </c>
      <c r="H97" s="30"/>
      <c r="I97" s="30"/>
      <c r="J97" s="30"/>
      <c r="K97" s="30"/>
      <c r="L97" s="30"/>
      <c r="M97" s="30"/>
      <c r="N97" s="41"/>
      <c r="R97">
        <v>1</v>
      </c>
      <c r="S97" s="11">
        <f>G55+G97</f>
        <v>42812119.30854097</v>
      </c>
    </row>
    <row r="98" spans="2:19" x14ac:dyDescent="0.3">
      <c r="B98" s="47"/>
      <c r="C98" s="48"/>
      <c r="D98" s="48"/>
      <c r="E98" s="10">
        <f>E97+1</f>
        <v>2</v>
      </c>
      <c r="F98" s="3">
        <f t="shared" ref="F98:F136" si="3">IF(E98&lt;=B12,100-G12,100-G12)</f>
        <v>76.28601579486633</v>
      </c>
      <c r="G98" s="16">
        <f t="shared" ref="G98:G136" si="4">IF(E98&lt;=B12,(F98/100)*($D$115+$D$125+$D$133+$D$135),(F98/100)*($D$115+$D$125+$D$133+$D$135))</f>
        <v>34726920.11013905</v>
      </c>
      <c r="H98" s="30"/>
      <c r="I98" s="30"/>
      <c r="J98" s="30"/>
      <c r="K98" s="30"/>
      <c r="L98" s="30"/>
      <c r="M98" s="30"/>
      <c r="N98" s="41"/>
      <c r="R98">
        <f>R97+1</f>
        <v>2</v>
      </c>
      <c r="S98" s="11">
        <f t="shared" ref="S98:S136" si="5">G56+G98</f>
        <v>35041901.550139047</v>
      </c>
    </row>
    <row r="99" spans="2:19" x14ac:dyDescent="0.3">
      <c r="B99" s="47" t="s">
        <v>42</v>
      </c>
      <c r="C99" s="48"/>
      <c r="D99" s="36">
        <v>50000</v>
      </c>
      <c r="E99" s="10">
        <f t="shared" ref="E99:E136" si="6">E98+1</f>
        <v>3</v>
      </c>
      <c r="F99" s="3">
        <f t="shared" si="3"/>
        <v>52.211361340881837</v>
      </c>
      <c r="G99" s="16">
        <f t="shared" si="4"/>
        <v>23767655.909596227</v>
      </c>
      <c r="H99" s="30"/>
      <c r="I99" s="30"/>
      <c r="J99" s="30"/>
      <c r="K99" s="30"/>
      <c r="L99" s="30"/>
      <c r="M99" s="30"/>
      <c r="N99" s="41"/>
      <c r="R99">
        <f t="shared" ref="R99:R136" si="7">R98+1</f>
        <v>3</v>
      </c>
      <c r="S99" s="11">
        <f t="shared" si="5"/>
        <v>24240128.069596227</v>
      </c>
    </row>
    <row r="100" spans="2:19" x14ac:dyDescent="0.3">
      <c r="B100" s="47"/>
      <c r="C100" s="48"/>
      <c r="D100" s="36"/>
      <c r="E100" s="10">
        <f t="shared" si="6"/>
        <v>4</v>
      </c>
      <c r="F100" s="3">
        <f t="shared" si="3"/>
        <v>30.02415979608972</v>
      </c>
      <c r="G100" s="16">
        <f t="shared" si="4"/>
        <v>13667598.022375964</v>
      </c>
      <c r="H100" s="30"/>
      <c r="I100" s="30"/>
      <c r="J100" s="30"/>
      <c r="K100" s="30"/>
      <c r="L100" s="30"/>
      <c r="M100" s="30"/>
      <c r="N100" s="41"/>
      <c r="R100">
        <f t="shared" si="7"/>
        <v>4</v>
      </c>
      <c r="S100" s="11">
        <f t="shared" si="5"/>
        <v>14297560.902375963</v>
      </c>
    </row>
    <row r="101" spans="2:19" x14ac:dyDescent="0.3">
      <c r="B101" s="45" t="s">
        <v>43</v>
      </c>
      <c r="C101" s="46"/>
      <c r="D101" s="40">
        <v>4000</v>
      </c>
      <c r="E101" s="10">
        <f t="shared" si="6"/>
        <v>5</v>
      </c>
      <c r="F101" s="3">
        <f t="shared" si="3"/>
        <v>14.688366088329417</v>
      </c>
      <c r="G101" s="16">
        <f t="shared" si="4"/>
        <v>6686438.0107293166</v>
      </c>
      <c r="H101" s="30"/>
      <c r="I101" s="30"/>
      <c r="J101" s="30"/>
      <c r="K101" s="30"/>
      <c r="L101" s="30"/>
      <c r="M101" s="30"/>
      <c r="N101" s="41"/>
      <c r="R101">
        <f t="shared" si="7"/>
        <v>5</v>
      </c>
      <c r="S101" s="11">
        <f t="shared" si="5"/>
        <v>7473891.6107293162</v>
      </c>
    </row>
    <row r="102" spans="2:19" x14ac:dyDescent="0.3">
      <c r="B102" s="45"/>
      <c r="C102" s="46"/>
      <c r="D102" s="40"/>
      <c r="E102" s="10">
        <f t="shared" si="6"/>
        <v>6</v>
      </c>
      <c r="F102" s="3">
        <f t="shared" si="3"/>
        <v>6.2082855996862776</v>
      </c>
      <c r="G102" s="16">
        <f t="shared" si="4"/>
        <v>2826135.7706891876</v>
      </c>
      <c r="H102" s="30"/>
      <c r="I102" s="30"/>
      <c r="J102" s="30"/>
      <c r="K102" s="30"/>
      <c r="L102" s="30"/>
      <c r="M102" s="30"/>
      <c r="N102" s="41"/>
      <c r="R102">
        <f t="shared" si="7"/>
        <v>6</v>
      </c>
      <c r="S102" s="11">
        <f t="shared" si="5"/>
        <v>3771080.0906891879</v>
      </c>
    </row>
    <row r="103" spans="2:19" x14ac:dyDescent="0.3">
      <c r="B103" s="29" t="s">
        <v>44</v>
      </c>
      <c r="C103" s="30"/>
      <c r="D103" s="40">
        <v>3</v>
      </c>
      <c r="E103" s="10">
        <f t="shared" si="6"/>
        <v>7</v>
      </c>
      <c r="F103" s="3">
        <f t="shared" si="3"/>
        <v>2.3006645105195389</v>
      </c>
      <c r="G103" s="16">
        <f t="shared" si="4"/>
        <v>1047308.4984787045</v>
      </c>
      <c r="H103" s="30"/>
      <c r="I103" s="30"/>
      <c r="J103" s="30"/>
      <c r="K103" s="30"/>
      <c r="L103" s="30"/>
      <c r="M103" s="30"/>
      <c r="N103" s="41"/>
      <c r="R103">
        <f t="shared" si="7"/>
        <v>7</v>
      </c>
      <c r="S103" s="11">
        <f t="shared" si="5"/>
        <v>2149743.5384787046</v>
      </c>
    </row>
    <row r="104" spans="2:19" x14ac:dyDescent="0.3">
      <c r="B104" s="29"/>
      <c r="C104" s="30"/>
      <c r="D104" s="40"/>
      <c r="E104" s="10">
        <f t="shared" si="6"/>
        <v>8</v>
      </c>
      <c r="F104" s="3">
        <f t="shared" si="3"/>
        <v>0.75726582661549457</v>
      </c>
      <c r="G104" s="16">
        <f t="shared" si="4"/>
        <v>344722.54959190544</v>
      </c>
      <c r="H104" s="30"/>
      <c r="I104" s="30"/>
      <c r="J104" s="30"/>
      <c r="K104" s="30"/>
      <c r="L104" s="30"/>
      <c r="M104" s="30"/>
      <c r="N104" s="41"/>
      <c r="R104">
        <f t="shared" si="7"/>
        <v>8</v>
      </c>
      <c r="S104" s="11">
        <f t="shared" si="5"/>
        <v>1604648.3095919052</v>
      </c>
    </row>
    <row r="105" spans="2:19" x14ac:dyDescent="0.3">
      <c r="B105" s="29" t="s">
        <v>16</v>
      </c>
      <c r="C105" s="30"/>
      <c r="D105" s="30">
        <f>E7</f>
        <v>7.9999999999999996E-6</v>
      </c>
      <c r="E105" s="10">
        <f t="shared" si="6"/>
        <v>9</v>
      </c>
      <c r="F105" s="3">
        <f t="shared" si="3"/>
        <v>0.2238672414582652</v>
      </c>
      <c r="G105" s="16">
        <f t="shared" si="4"/>
        <v>101908.84565663147</v>
      </c>
      <c r="H105" s="30"/>
      <c r="I105" s="30"/>
      <c r="J105" s="30"/>
      <c r="K105" s="30"/>
      <c r="L105" s="30"/>
      <c r="M105" s="30"/>
      <c r="N105" s="41"/>
      <c r="R105">
        <f t="shared" si="7"/>
        <v>9</v>
      </c>
      <c r="S105" s="11">
        <f t="shared" si="5"/>
        <v>1519325.3256566315</v>
      </c>
    </row>
    <row r="106" spans="2:19" x14ac:dyDescent="0.3">
      <c r="B106" s="29"/>
      <c r="C106" s="30"/>
      <c r="D106" s="30"/>
      <c r="E106" s="10">
        <f t="shared" si="6"/>
        <v>10</v>
      </c>
      <c r="F106" s="3">
        <f t="shared" si="3"/>
        <v>6.0007196097956239E-2</v>
      </c>
      <c r="G106" s="16">
        <f t="shared" si="4"/>
        <v>27316.475807711638</v>
      </c>
      <c r="H106" s="30"/>
      <c r="I106" s="30"/>
      <c r="J106" s="30"/>
      <c r="K106" s="30"/>
      <c r="L106" s="30"/>
      <c r="M106" s="30"/>
      <c r="N106" s="41"/>
      <c r="R106">
        <f t="shared" si="7"/>
        <v>10</v>
      </c>
      <c r="S106" s="11">
        <f t="shared" si="5"/>
        <v>1602223.6758077117</v>
      </c>
    </row>
    <row r="107" spans="2:19" x14ac:dyDescent="0.3">
      <c r="B107" s="29" t="s">
        <v>45</v>
      </c>
      <c r="C107" s="30"/>
      <c r="D107" s="30">
        <f>C7*30*24</f>
        <v>8640</v>
      </c>
      <c r="E107" s="10">
        <f t="shared" si="6"/>
        <v>11</v>
      </c>
      <c r="F107" s="3">
        <f t="shared" si="3"/>
        <v>1.470317075673222E-2</v>
      </c>
      <c r="G107" s="16">
        <f t="shared" si="4"/>
        <v>6693.1773918796407</v>
      </c>
      <c r="H107" s="30"/>
      <c r="I107" s="30"/>
      <c r="J107" s="30"/>
      <c r="K107" s="30"/>
      <c r="L107" s="30"/>
      <c r="M107" s="30"/>
      <c r="N107" s="41"/>
      <c r="R107">
        <f t="shared" si="7"/>
        <v>11</v>
      </c>
      <c r="S107" s="11">
        <f t="shared" si="5"/>
        <v>1739091.0973918799</v>
      </c>
    </row>
    <row r="108" spans="2:19" x14ac:dyDescent="0.3">
      <c r="B108" s="29"/>
      <c r="C108" s="30"/>
      <c r="D108" s="30"/>
      <c r="E108" s="10">
        <f t="shared" si="6"/>
        <v>12</v>
      </c>
      <c r="F108" s="3">
        <f t="shared" si="3"/>
        <v>3.3162099146011315E-3</v>
      </c>
      <c r="G108" s="16">
        <f t="shared" si="4"/>
        <v>1509.6050773247268</v>
      </c>
      <c r="H108" s="30"/>
      <c r="I108" s="30"/>
      <c r="J108" s="30"/>
      <c r="K108" s="30"/>
      <c r="L108" s="30"/>
      <c r="M108" s="30"/>
      <c r="N108" s="41"/>
      <c r="R108">
        <f t="shared" si="7"/>
        <v>12</v>
      </c>
      <c r="S108" s="11">
        <f t="shared" si="5"/>
        <v>1891398.2450773248</v>
      </c>
    </row>
    <row r="109" spans="2:19" x14ac:dyDescent="0.3">
      <c r="B109" s="29" t="s">
        <v>46</v>
      </c>
      <c r="C109" s="30"/>
      <c r="D109" s="30">
        <f>D105*D107</f>
        <v>6.9120000000000001E-2</v>
      </c>
      <c r="E109" s="10">
        <f t="shared" si="6"/>
        <v>13</v>
      </c>
      <c r="F109" s="3">
        <f t="shared" si="3"/>
        <v>6.9265413658570196E-4</v>
      </c>
      <c r="G109" s="16">
        <f t="shared" si="4"/>
        <v>315.31001605654325</v>
      </c>
      <c r="H109" s="30"/>
      <c r="I109" s="30"/>
      <c r="J109" s="30"/>
      <c r="K109" s="30"/>
      <c r="L109" s="30"/>
      <c r="M109" s="30"/>
      <c r="N109" s="41"/>
      <c r="R109">
        <f t="shared" si="7"/>
        <v>13</v>
      </c>
      <c r="S109" s="11">
        <f t="shared" si="5"/>
        <v>2047694.6700160564</v>
      </c>
    </row>
    <row r="110" spans="2:19" x14ac:dyDescent="0.3">
      <c r="B110" s="29"/>
      <c r="C110" s="30"/>
      <c r="D110" s="30"/>
      <c r="E110" s="10">
        <f t="shared" si="6"/>
        <v>14</v>
      </c>
      <c r="F110" s="3">
        <f t="shared" si="3"/>
        <v>1.3468436618779833E-4</v>
      </c>
      <c r="G110" s="16">
        <f t="shared" si="4"/>
        <v>61.311017176009557</v>
      </c>
      <c r="H110" s="30"/>
      <c r="I110" s="30"/>
      <c r="J110" s="30"/>
      <c r="K110" s="30"/>
      <c r="L110" s="30"/>
      <c r="M110" s="30"/>
      <c r="N110" s="41"/>
      <c r="R110">
        <f t="shared" si="7"/>
        <v>14</v>
      </c>
      <c r="S110" s="11">
        <f t="shared" si="5"/>
        <v>2204931.3910171762</v>
      </c>
    </row>
    <row r="111" spans="2:19" x14ac:dyDescent="0.3">
      <c r="B111" s="29" t="s">
        <v>47</v>
      </c>
      <c r="C111" s="30"/>
      <c r="D111" s="40">
        <v>2</v>
      </c>
      <c r="E111" s="10">
        <f t="shared" si="6"/>
        <v>15</v>
      </c>
      <c r="F111" s="3">
        <f t="shared" si="3"/>
        <v>2.4493307535067288E-5</v>
      </c>
      <c r="G111" s="16">
        <f t="shared" si="4"/>
        <v>11.149843456113333</v>
      </c>
      <c r="H111" s="30"/>
      <c r="I111" s="30"/>
      <c r="J111" s="30"/>
      <c r="K111" s="30"/>
      <c r="L111" s="30"/>
      <c r="M111" s="30"/>
      <c r="N111" s="41"/>
      <c r="R111">
        <f t="shared" si="7"/>
        <v>15</v>
      </c>
      <c r="S111" s="11">
        <f t="shared" si="5"/>
        <v>2362371.949843456</v>
      </c>
    </row>
    <row r="112" spans="2:19" x14ac:dyDescent="0.3">
      <c r="B112" s="29"/>
      <c r="C112" s="30"/>
      <c r="D112" s="40"/>
      <c r="E112" s="10">
        <f t="shared" si="6"/>
        <v>16</v>
      </c>
      <c r="F112" s="3">
        <f t="shared" si="3"/>
        <v>4.1828916153008322E-6</v>
      </c>
      <c r="G112" s="16">
        <f t="shared" si="4"/>
        <v>1.9041359211172446</v>
      </c>
      <c r="H112" s="30"/>
      <c r="I112" s="30"/>
      <c r="J112" s="30"/>
      <c r="K112" s="30"/>
      <c r="L112" s="30"/>
      <c r="M112" s="30"/>
      <c r="N112" s="41"/>
      <c r="R112">
        <f t="shared" si="7"/>
        <v>16</v>
      </c>
      <c r="S112" s="11">
        <f t="shared" si="5"/>
        <v>2519853.4241359206</v>
      </c>
    </row>
    <row r="113" spans="2:19" x14ac:dyDescent="0.3">
      <c r="B113" s="29" t="s">
        <v>48</v>
      </c>
      <c r="C113" s="30"/>
      <c r="D113" s="36">
        <v>200000</v>
      </c>
      <c r="E113" s="10">
        <f t="shared" si="6"/>
        <v>17</v>
      </c>
      <c r="F113" s="3">
        <f t="shared" si="3"/>
        <v>6.7325173347398959E-7</v>
      </c>
      <c r="G113" s="16">
        <f t="shared" si="4"/>
        <v>0.30647765411202954</v>
      </c>
      <c r="H113" s="30"/>
      <c r="I113" s="30"/>
      <c r="J113" s="30"/>
      <c r="K113" s="30"/>
      <c r="L113" s="30"/>
      <c r="M113" s="30"/>
      <c r="N113" s="41"/>
      <c r="R113">
        <f t="shared" si="7"/>
        <v>17</v>
      </c>
      <c r="S113" s="11">
        <f t="shared" si="5"/>
        <v>2677342.5464776545</v>
      </c>
    </row>
    <row r="114" spans="2:19" x14ac:dyDescent="0.3">
      <c r="B114" s="29"/>
      <c r="C114" s="30"/>
      <c r="D114" s="36"/>
      <c r="E114" s="10">
        <f t="shared" si="6"/>
        <v>18</v>
      </c>
      <c r="F114" s="3">
        <f t="shared" si="3"/>
        <v>1.0246041881600831E-7</v>
      </c>
      <c r="G114" s="16">
        <f t="shared" si="4"/>
        <v>4.6642031853423305E-2</v>
      </c>
      <c r="H114" s="30"/>
      <c r="I114" s="30"/>
      <c r="J114" s="30"/>
      <c r="K114" s="30"/>
      <c r="L114" s="30"/>
      <c r="M114" s="30"/>
      <c r="N114" s="41"/>
      <c r="R114">
        <f t="shared" si="7"/>
        <v>18</v>
      </c>
      <c r="S114" s="11">
        <f t="shared" si="5"/>
        <v>2834833.0066420319</v>
      </c>
    </row>
    <row r="115" spans="2:19" x14ac:dyDescent="0.3">
      <c r="B115" s="31" t="s">
        <v>58</v>
      </c>
      <c r="C115" s="32"/>
      <c r="D115" s="35">
        <f>(D99*D101*D103*D109)+(D111*D113)</f>
        <v>41872000</v>
      </c>
      <c r="E115" s="10">
        <f t="shared" si="6"/>
        <v>19</v>
      </c>
      <c r="F115" s="3">
        <f t="shared" si="3"/>
        <v>1.4786877500228002E-8</v>
      </c>
      <c r="G115" s="16">
        <f t="shared" si="4"/>
        <v>6.731282375653791E-3</v>
      </c>
      <c r="H115" s="30"/>
      <c r="I115" s="30"/>
      <c r="J115" s="30"/>
      <c r="K115" s="30"/>
      <c r="L115" s="30"/>
      <c r="M115" s="30"/>
      <c r="N115" s="41"/>
      <c r="R115">
        <f t="shared" si="7"/>
        <v>19</v>
      </c>
      <c r="S115" s="11">
        <f t="shared" si="5"/>
        <v>2992323.6867312826</v>
      </c>
    </row>
    <row r="116" spans="2:19" x14ac:dyDescent="0.3">
      <c r="B116" s="31"/>
      <c r="C116" s="32"/>
      <c r="D116" s="35"/>
      <c r="E116" s="10">
        <f t="shared" si="6"/>
        <v>20</v>
      </c>
      <c r="F116" s="3">
        <f t="shared" si="3"/>
        <v>2.0289832036723965E-9</v>
      </c>
      <c r="G116" s="16">
        <f t="shared" si="4"/>
        <v>9.2363373397574833E-4</v>
      </c>
      <c r="H116" s="30"/>
      <c r="I116" s="30"/>
      <c r="J116" s="30"/>
      <c r="K116" s="30"/>
      <c r="L116" s="30"/>
      <c r="M116" s="30"/>
      <c r="N116" s="41"/>
      <c r="R116">
        <f t="shared" si="7"/>
        <v>20</v>
      </c>
      <c r="S116" s="11">
        <f t="shared" si="5"/>
        <v>3149814.4009236335</v>
      </c>
    </row>
    <row r="117" spans="2:19" x14ac:dyDescent="0.3">
      <c r="B117" s="29" t="s">
        <v>59</v>
      </c>
      <c r="C117" s="30"/>
      <c r="D117" s="30"/>
      <c r="E117" s="10">
        <f t="shared" si="6"/>
        <v>21</v>
      </c>
      <c r="F117" s="3">
        <f t="shared" si="3"/>
        <v>2.6534507924225181E-10</v>
      </c>
      <c r="G117" s="16">
        <f t="shared" si="4"/>
        <v>1.2079038697265787E-4</v>
      </c>
      <c r="H117" s="30"/>
      <c r="I117" s="30"/>
      <c r="J117" s="30"/>
      <c r="K117" s="30"/>
      <c r="L117" s="30"/>
      <c r="M117" s="30"/>
      <c r="N117" s="41"/>
      <c r="R117">
        <f t="shared" si="7"/>
        <v>21</v>
      </c>
      <c r="S117" s="11">
        <f t="shared" si="5"/>
        <v>3307305.1201207899</v>
      </c>
    </row>
    <row r="118" spans="2:19" x14ac:dyDescent="0.3">
      <c r="B118" s="29"/>
      <c r="C118" s="30"/>
      <c r="D118" s="30"/>
      <c r="E118" s="10">
        <f t="shared" si="6"/>
        <v>22</v>
      </c>
      <c r="F118" s="3">
        <f t="shared" si="3"/>
        <v>3.3139713195851073E-11</v>
      </c>
      <c r="G118" s="16">
        <f t="shared" si="4"/>
        <v>1.5085860241015325E-5</v>
      </c>
      <c r="H118" s="30"/>
      <c r="I118" s="30"/>
      <c r="J118" s="30"/>
      <c r="K118" s="30"/>
      <c r="L118" s="30"/>
      <c r="M118" s="30"/>
      <c r="N118" s="41"/>
      <c r="R118">
        <f t="shared" si="7"/>
        <v>22</v>
      </c>
      <c r="S118" s="11">
        <f t="shared" si="5"/>
        <v>3464795.8400150863</v>
      </c>
    </row>
    <row r="119" spans="2:19" x14ac:dyDescent="0.3">
      <c r="B119" s="38" t="s">
        <v>49</v>
      </c>
      <c r="C119" s="39"/>
      <c r="D119" s="36">
        <v>200000</v>
      </c>
      <c r="E119" s="10">
        <f t="shared" si="6"/>
        <v>23</v>
      </c>
      <c r="F119" s="3">
        <f t="shared" si="3"/>
        <v>3.964828465541359E-12</v>
      </c>
      <c r="G119" s="16">
        <f t="shared" si="4"/>
        <v>1.8048692140837375E-6</v>
      </c>
      <c r="H119" s="30"/>
      <c r="I119" s="30"/>
      <c r="J119" s="30"/>
      <c r="K119" s="30"/>
      <c r="L119" s="30"/>
      <c r="M119" s="30"/>
      <c r="N119" s="41"/>
      <c r="R119">
        <f t="shared" si="7"/>
        <v>23</v>
      </c>
      <c r="S119" s="11">
        <f t="shared" si="5"/>
        <v>3622286.5600018045</v>
      </c>
    </row>
    <row r="120" spans="2:19" x14ac:dyDescent="0.3">
      <c r="B120" s="38"/>
      <c r="C120" s="39"/>
      <c r="D120" s="36"/>
      <c r="E120" s="10">
        <f t="shared" si="6"/>
        <v>24</v>
      </c>
      <c r="F120" s="3">
        <f t="shared" si="3"/>
        <v>4.5474735088646412E-13</v>
      </c>
      <c r="G120" s="16">
        <f t="shared" si="4"/>
        <v>2.070100890705362E-7</v>
      </c>
      <c r="H120" s="30"/>
      <c r="I120" s="30"/>
      <c r="J120" s="30"/>
      <c r="K120" s="30"/>
      <c r="L120" s="30"/>
      <c r="M120" s="30"/>
      <c r="N120" s="41"/>
      <c r="R120">
        <f t="shared" si="7"/>
        <v>24</v>
      </c>
      <c r="S120" s="11">
        <f t="shared" si="5"/>
        <v>3779777.2800002075</v>
      </c>
    </row>
    <row r="121" spans="2:19" x14ac:dyDescent="0.3">
      <c r="B121" s="38" t="s">
        <v>50</v>
      </c>
      <c r="C121" s="39"/>
      <c r="D121" s="36">
        <v>200000</v>
      </c>
      <c r="E121" s="10">
        <f t="shared" si="6"/>
        <v>25</v>
      </c>
      <c r="F121" s="3">
        <f t="shared" si="3"/>
        <v>4.2632564145606011E-14</v>
      </c>
      <c r="G121" s="16">
        <f t="shared" si="4"/>
        <v>1.9407195850362768E-8</v>
      </c>
      <c r="H121" s="30"/>
      <c r="I121" s="30"/>
      <c r="J121" s="30"/>
      <c r="K121" s="30"/>
      <c r="L121" s="30"/>
      <c r="M121" s="30"/>
      <c r="N121" s="41"/>
      <c r="R121">
        <f t="shared" si="7"/>
        <v>25</v>
      </c>
      <c r="S121" s="11">
        <f t="shared" si="5"/>
        <v>3937268.0000000196</v>
      </c>
    </row>
    <row r="122" spans="2:19" x14ac:dyDescent="0.3">
      <c r="B122" s="38"/>
      <c r="C122" s="39"/>
      <c r="D122" s="36"/>
      <c r="E122" s="10">
        <f t="shared" si="6"/>
        <v>26</v>
      </c>
      <c r="F122" s="3">
        <f t="shared" si="3"/>
        <v>0</v>
      </c>
      <c r="G122" s="16">
        <f t="shared" si="4"/>
        <v>0</v>
      </c>
      <c r="H122" s="30"/>
      <c r="I122" s="30"/>
      <c r="J122" s="30"/>
      <c r="K122" s="30"/>
      <c r="L122" s="30"/>
      <c r="M122" s="30"/>
      <c r="N122" s="41"/>
      <c r="R122">
        <f t="shared" si="7"/>
        <v>26</v>
      </c>
      <c r="S122" s="11">
        <f t="shared" si="5"/>
        <v>4094758.7199999997</v>
      </c>
    </row>
    <row r="123" spans="2:19" x14ac:dyDescent="0.3">
      <c r="B123" s="38" t="s">
        <v>51</v>
      </c>
      <c r="C123" s="39"/>
      <c r="D123" s="36">
        <v>50000</v>
      </c>
      <c r="E123" s="10">
        <f t="shared" si="6"/>
        <v>27</v>
      </c>
      <c r="F123" s="3">
        <f t="shared" si="3"/>
        <v>0</v>
      </c>
      <c r="G123" s="16">
        <f t="shared" si="4"/>
        <v>0</v>
      </c>
      <c r="H123" s="30"/>
      <c r="I123" s="30"/>
      <c r="J123" s="30"/>
      <c r="K123" s="30"/>
      <c r="L123" s="30"/>
      <c r="M123" s="30"/>
      <c r="N123" s="41"/>
      <c r="R123">
        <f t="shared" si="7"/>
        <v>27</v>
      </c>
      <c r="S123" s="11">
        <f t="shared" si="5"/>
        <v>4252249.4400000004</v>
      </c>
    </row>
    <row r="124" spans="2:19" x14ac:dyDescent="0.3">
      <c r="B124" s="38"/>
      <c r="C124" s="39"/>
      <c r="D124" s="36"/>
      <c r="E124" s="10">
        <f t="shared" si="6"/>
        <v>28</v>
      </c>
      <c r="F124" s="3">
        <f t="shared" si="3"/>
        <v>0</v>
      </c>
      <c r="G124" s="16">
        <f t="shared" si="4"/>
        <v>0</v>
      </c>
      <c r="H124" s="30"/>
      <c r="I124" s="30"/>
      <c r="J124" s="30"/>
      <c r="K124" s="30"/>
      <c r="L124" s="30"/>
      <c r="M124" s="30"/>
      <c r="N124" s="41"/>
      <c r="R124">
        <f t="shared" si="7"/>
        <v>28</v>
      </c>
      <c r="S124" s="11">
        <f t="shared" si="5"/>
        <v>4409740.16</v>
      </c>
    </row>
    <row r="125" spans="2:19" x14ac:dyDescent="0.3">
      <c r="B125" s="31" t="s">
        <v>60</v>
      </c>
      <c r="C125" s="32"/>
      <c r="D125" s="35">
        <f>D119+D121+D123</f>
        <v>450000</v>
      </c>
      <c r="E125" s="10">
        <f t="shared" si="6"/>
        <v>29</v>
      </c>
      <c r="F125" s="3">
        <f t="shared" si="3"/>
        <v>0</v>
      </c>
      <c r="G125" s="16">
        <f t="shared" si="4"/>
        <v>0</v>
      </c>
      <c r="H125" s="30"/>
      <c r="I125" s="30"/>
      <c r="J125" s="30"/>
      <c r="K125" s="30"/>
      <c r="L125" s="30"/>
      <c r="M125" s="30"/>
      <c r="N125" s="41"/>
      <c r="R125">
        <f t="shared" si="7"/>
        <v>29</v>
      </c>
      <c r="S125" s="11">
        <f t="shared" si="5"/>
        <v>4567230.88</v>
      </c>
    </row>
    <row r="126" spans="2:19" x14ac:dyDescent="0.3">
      <c r="B126" s="31"/>
      <c r="C126" s="32"/>
      <c r="D126" s="35"/>
      <c r="E126" s="10">
        <f t="shared" si="6"/>
        <v>30</v>
      </c>
      <c r="F126" s="3">
        <f t="shared" si="3"/>
        <v>0</v>
      </c>
      <c r="G126" s="16">
        <f t="shared" si="4"/>
        <v>0</v>
      </c>
      <c r="H126" s="30"/>
      <c r="I126" s="30"/>
      <c r="J126" s="30"/>
      <c r="K126" s="30"/>
      <c r="L126" s="30"/>
      <c r="M126" s="30"/>
      <c r="N126" s="41"/>
      <c r="R126">
        <f t="shared" si="7"/>
        <v>30</v>
      </c>
      <c r="S126" s="11">
        <f t="shared" si="5"/>
        <v>4724721.5999999996</v>
      </c>
    </row>
    <row r="127" spans="2:19" x14ac:dyDescent="0.3">
      <c r="B127" s="29" t="s">
        <v>61</v>
      </c>
      <c r="C127" s="30"/>
      <c r="D127" s="30"/>
      <c r="E127" s="10">
        <f t="shared" si="6"/>
        <v>31</v>
      </c>
      <c r="F127" s="3">
        <f t="shared" si="3"/>
        <v>0</v>
      </c>
      <c r="G127" s="16">
        <f t="shared" si="4"/>
        <v>0</v>
      </c>
      <c r="H127" s="30"/>
      <c r="I127" s="30"/>
      <c r="J127" s="30"/>
      <c r="K127" s="30"/>
      <c r="L127" s="30"/>
      <c r="M127" s="30"/>
      <c r="N127" s="41"/>
      <c r="R127">
        <f t="shared" si="7"/>
        <v>31</v>
      </c>
      <c r="S127" s="11">
        <f t="shared" si="5"/>
        <v>4882212.32</v>
      </c>
    </row>
    <row r="128" spans="2:19" x14ac:dyDescent="0.3">
      <c r="B128" s="29"/>
      <c r="C128" s="30"/>
      <c r="D128" s="30"/>
      <c r="E128" s="10">
        <f t="shared" si="6"/>
        <v>32</v>
      </c>
      <c r="F128" s="3">
        <f t="shared" si="3"/>
        <v>0</v>
      </c>
      <c r="G128" s="16">
        <f t="shared" si="4"/>
        <v>0</v>
      </c>
      <c r="H128" s="30"/>
      <c r="I128" s="30"/>
      <c r="J128" s="30"/>
      <c r="K128" s="30"/>
      <c r="L128" s="30"/>
      <c r="M128" s="30"/>
      <c r="N128" s="41"/>
      <c r="R128">
        <f t="shared" si="7"/>
        <v>32</v>
      </c>
      <c r="S128" s="11">
        <f t="shared" si="5"/>
        <v>5039703.0399999991</v>
      </c>
    </row>
    <row r="129" spans="2:19" x14ac:dyDescent="0.3">
      <c r="B129" s="29" t="s">
        <v>52</v>
      </c>
      <c r="C129" s="30"/>
      <c r="D129" s="36">
        <v>100000</v>
      </c>
      <c r="E129" s="10">
        <f t="shared" si="6"/>
        <v>33</v>
      </c>
      <c r="F129" s="3">
        <f t="shared" si="3"/>
        <v>0</v>
      </c>
      <c r="G129" s="16">
        <f t="shared" si="4"/>
        <v>0</v>
      </c>
      <c r="H129" s="30"/>
      <c r="I129" s="30"/>
      <c r="J129" s="30"/>
      <c r="K129" s="30"/>
      <c r="L129" s="30"/>
      <c r="M129" s="30"/>
      <c r="N129" s="41"/>
      <c r="R129">
        <f t="shared" si="7"/>
        <v>33</v>
      </c>
      <c r="S129" s="11">
        <f t="shared" si="5"/>
        <v>5197193.7600000007</v>
      </c>
    </row>
    <row r="130" spans="2:19" x14ac:dyDescent="0.3">
      <c r="B130" s="29"/>
      <c r="C130" s="30"/>
      <c r="D130" s="36"/>
      <c r="E130" s="10">
        <f t="shared" si="6"/>
        <v>34</v>
      </c>
      <c r="F130" s="3">
        <f t="shared" si="3"/>
        <v>0</v>
      </c>
      <c r="G130" s="16">
        <f t="shared" si="4"/>
        <v>0</v>
      </c>
      <c r="H130" s="30"/>
      <c r="I130" s="30"/>
      <c r="J130" s="30"/>
      <c r="K130" s="30"/>
      <c r="L130" s="30"/>
      <c r="M130" s="30"/>
      <c r="N130" s="41"/>
      <c r="R130">
        <f t="shared" si="7"/>
        <v>34</v>
      </c>
      <c r="S130" s="11">
        <f t="shared" si="5"/>
        <v>5354684.4800000004</v>
      </c>
    </row>
    <row r="131" spans="2:19" x14ac:dyDescent="0.3">
      <c r="B131" s="29" t="s">
        <v>53</v>
      </c>
      <c r="C131" s="30"/>
      <c r="D131" s="36">
        <v>100000</v>
      </c>
      <c r="E131" s="10">
        <f t="shared" si="6"/>
        <v>35</v>
      </c>
      <c r="F131" s="3">
        <f t="shared" si="3"/>
        <v>0</v>
      </c>
      <c r="G131" s="16">
        <f t="shared" si="4"/>
        <v>0</v>
      </c>
      <c r="H131" s="30"/>
      <c r="I131" s="30"/>
      <c r="J131" s="30"/>
      <c r="K131" s="30"/>
      <c r="L131" s="30"/>
      <c r="M131" s="30"/>
      <c r="N131" s="41"/>
      <c r="R131">
        <f t="shared" si="7"/>
        <v>35</v>
      </c>
      <c r="S131" s="11">
        <f t="shared" si="5"/>
        <v>5512175.2000000002</v>
      </c>
    </row>
    <row r="132" spans="2:19" x14ac:dyDescent="0.3">
      <c r="B132" s="29"/>
      <c r="C132" s="30"/>
      <c r="D132" s="36"/>
      <c r="E132" s="10">
        <f t="shared" si="6"/>
        <v>36</v>
      </c>
      <c r="F132" s="3">
        <f t="shared" si="3"/>
        <v>0</v>
      </c>
      <c r="G132" s="16">
        <f t="shared" si="4"/>
        <v>0</v>
      </c>
      <c r="H132" s="30"/>
      <c r="I132" s="30"/>
      <c r="J132" s="30"/>
      <c r="K132" s="30"/>
      <c r="L132" s="30"/>
      <c r="M132" s="30"/>
      <c r="N132" s="41"/>
      <c r="R132">
        <f t="shared" si="7"/>
        <v>36</v>
      </c>
      <c r="S132" s="11">
        <f t="shared" si="5"/>
        <v>5669665.9199999999</v>
      </c>
    </row>
    <row r="133" spans="2:19" x14ac:dyDescent="0.3">
      <c r="B133" s="31" t="s">
        <v>62</v>
      </c>
      <c r="C133" s="32"/>
      <c r="D133" s="37">
        <f>D129+D131</f>
        <v>200000</v>
      </c>
      <c r="E133" s="10">
        <f t="shared" si="6"/>
        <v>37</v>
      </c>
      <c r="F133" s="3">
        <f t="shared" si="3"/>
        <v>0</v>
      </c>
      <c r="G133" s="16">
        <f t="shared" si="4"/>
        <v>0</v>
      </c>
      <c r="H133" s="30"/>
      <c r="I133" s="30"/>
      <c r="J133" s="30"/>
      <c r="K133" s="30"/>
      <c r="L133" s="30"/>
      <c r="M133" s="30"/>
      <c r="N133" s="41"/>
      <c r="R133">
        <f t="shared" si="7"/>
        <v>37</v>
      </c>
      <c r="S133" s="11">
        <f>G91+G133</f>
        <v>5827156.6399999997</v>
      </c>
    </row>
    <row r="134" spans="2:19" x14ac:dyDescent="0.3">
      <c r="B134" s="31"/>
      <c r="C134" s="32"/>
      <c r="D134" s="37"/>
      <c r="E134" s="10">
        <f t="shared" si="6"/>
        <v>38</v>
      </c>
      <c r="F134" s="3">
        <f t="shared" si="3"/>
        <v>0</v>
      </c>
      <c r="G134" s="16">
        <f t="shared" si="4"/>
        <v>0</v>
      </c>
      <c r="H134" s="30"/>
      <c r="I134" s="30"/>
      <c r="J134" s="30"/>
      <c r="K134" s="30"/>
      <c r="L134" s="30"/>
      <c r="M134" s="30"/>
      <c r="N134" s="41"/>
      <c r="R134">
        <f t="shared" si="7"/>
        <v>38</v>
      </c>
      <c r="S134" s="11">
        <f>G92+G134</f>
        <v>5984647.3600000003</v>
      </c>
    </row>
    <row r="135" spans="2:19" x14ac:dyDescent="0.3">
      <c r="B135" s="33" t="s">
        <v>63</v>
      </c>
      <c r="C135" s="34"/>
      <c r="D135" s="35">
        <v>3000000</v>
      </c>
      <c r="E135" s="10">
        <f t="shared" si="6"/>
        <v>39</v>
      </c>
      <c r="F135" s="3">
        <f t="shared" si="3"/>
        <v>0</v>
      </c>
      <c r="G135" s="16">
        <f t="shared" si="4"/>
        <v>0</v>
      </c>
      <c r="H135" s="30"/>
      <c r="I135" s="30"/>
      <c r="J135" s="30"/>
      <c r="K135" s="30"/>
      <c r="L135" s="30"/>
      <c r="M135" s="30"/>
      <c r="N135" s="41"/>
      <c r="R135">
        <f t="shared" si="7"/>
        <v>39</v>
      </c>
      <c r="S135" s="11">
        <f t="shared" si="5"/>
        <v>6142138.0800000001</v>
      </c>
    </row>
    <row r="136" spans="2:19" x14ac:dyDescent="0.3">
      <c r="B136" s="33"/>
      <c r="C136" s="34"/>
      <c r="D136" s="35"/>
      <c r="E136" s="20">
        <f t="shared" si="6"/>
        <v>40</v>
      </c>
      <c r="F136" s="21">
        <f t="shared" si="3"/>
        <v>0</v>
      </c>
      <c r="G136" s="22">
        <f t="shared" si="4"/>
        <v>0</v>
      </c>
      <c r="H136" s="30"/>
      <c r="I136" s="30"/>
      <c r="J136" s="30"/>
      <c r="K136" s="30"/>
      <c r="L136" s="30"/>
      <c r="M136" s="30"/>
      <c r="N136" s="41"/>
      <c r="R136">
        <f t="shared" si="7"/>
        <v>40</v>
      </c>
      <c r="S136" s="11">
        <f t="shared" si="5"/>
        <v>6299628.7999999998</v>
      </c>
    </row>
    <row r="137" spans="2:19" ht="21" x14ac:dyDescent="0.4">
      <c r="B137" s="50" t="s">
        <v>64</v>
      </c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2"/>
    </row>
    <row r="138" spans="2:19" x14ac:dyDescent="0.3">
      <c r="B138" s="29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41"/>
    </row>
    <row r="139" spans="2:19" x14ac:dyDescent="0.3">
      <c r="B139" s="29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41"/>
    </row>
    <row r="140" spans="2:19" x14ac:dyDescent="0.3">
      <c r="B140" s="29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41"/>
    </row>
    <row r="141" spans="2:19" x14ac:dyDescent="0.3">
      <c r="B141" s="29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41"/>
    </row>
    <row r="142" spans="2:19" x14ac:dyDescent="0.3">
      <c r="B142" s="29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41"/>
    </row>
    <row r="143" spans="2:19" x14ac:dyDescent="0.3">
      <c r="B143" s="29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41"/>
    </row>
    <row r="144" spans="2:19" x14ac:dyDescent="0.3">
      <c r="B144" s="29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41"/>
    </row>
    <row r="145" spans="2:14" x14ac:dyDescent="0.3">
      <c r="B145" s="29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41"/>
    </row>
    <row r="146" spans="2:14" x14ac:dyDescent="0.3">
      <c r="B146" s="29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41"/>
    </row>
    <row r="147" spans="2:14" x14ac:dyDescent="0.3">
      <c r="B147" s="29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41"/>
    </row>
    <row r="148" spans="2:14" x14ac:dyDescent="0.3">
      <c r="B148" s="29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41"/>
    </row>
    <row r="149" spans="2:14" x14ac:dyDescent="0.3">
      <c r="B149" s="29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41"/>
    </row>
    <row r="150" spans="2:14" x14ac:dyDescent="0.3">
      <c r="B150" s="29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41"/>
    </row>
    <row r="151" spans="2:14" x14ac:dyDescent="0.3">
      <c r="B151" s="29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41"/>
    </row>
    <row r="152" spans="2:14" x14ac:dyDescent="0.3">
      <c r="B152" s="29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41"/>
    </row>
    <row r="153" spans="2:14" x14ac:dyDescent="0.3">
      <c r="B153" s="29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41"/>
    </row>
    <row r="154" spans="2:14" x14ac:dyDescent="0.3">
      <c r="B154" s="29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41"/>
    </row>
    <row r="155" spans="2:14" x14ac:dyDescent="0.3">
      <c r="B155" s="29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41"/>
    </row>
    <row r="156" spans="2:14" x14ac:dyDescent="0.3">
      <c r="B156" s="29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41"/>
    </row>
    <row r="157" spans="2:14" x14ac:dyDescent="0.3">
      <c r="B157" s="29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41"/>
    </row>
    <row r="158" spans="2:14" x14ac:dyDescent="0.3">
      <c r="B158" s="29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41"/>
    </row>
    <row r="159" spans="2:14" x14ac:dyDescent="0.3">
      <c r="B159" s="29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41"/>
    </row>
    <row r="160" spans="2:14" x14ac:dyDescent="0.3">
      <c r="B160" s="29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41"/>
    </row>
    <row r="161" spans="2:14" x14ac:dyDescent="0.3">
      <c r="B161" s="29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41"/>
    </row>
    <row r="162" spans="2:14" x14ac:dyDescent="0.3">
      <c r="B162" s="29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41"/>
    </row>
    <row r="163" spans="2:14" x14ac:dyDescent="0.3">
      <c r="B163" s="29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41"/>
    </row>
    <row r="164" spans="2:14" x14ac:dyDescent="0.3">
      <c r="B164" s="29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41"/>
    </row>
    <row r="165" spans="2:14" x14ac:dyDescent="0.3">
      <c r="B165" s="29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41"/>
    </row>
    <row r="166" spans="2:14" x14ac:dyDescent="0.3">
      <c r="B166" s="29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41"/>
    </row>
    <row r="167" spans="2:14" x14ac:dyDescent="0.3">
      <c r="B167" s="29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41"/>
    </row>
    <row r="168" spans="2:14" x14ac:dyDescent="0.3">
      <c r="B168" s="29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41"/>
    </row>
    <row r="169" spans="2:14" x14ac:dyDescent="0.3">
      <c r="B169" s="29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41"/>
    </row>
    <row r="170" spans="2:14" x14ac:dyDescent="0.3">
      <c r="B170" s="29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41"/>
    </row>
    <row r="171" spans="2:14" ht="15" customHeight="1" x14ac:dyDescent="0.3">
      <c r="B171" s="62" t="s">
        <v>68</v>
      </c>
      <c r="C171" s="60"/>
      <c r="D171" s="64" cm="1">
        <f t="array" ref="D171">_xlfn.XLOOKUP(MIN(IF(NCFA27[Poisson acumulado '[%']]&gt;F171,NCFA27[Poisson acumulado '[%']])),NCFA27[Poisson acumulado '[%']],NCFA27[k])</f>
        <v>6</v>
      </c>
      <c r="E171" s="60" t="s">
        <v>67</v>
      </c>
      <c r="F171" s="68">
        <f>E11</f>
        <v>95</v>
      </c>
      <c r="G171" s="60" t="s">
        <v>65</v>
      </c>
      <c r="H171" s="64">
        <f>_xlfn.XLOOKUP(MIN(S97:S136),S97:S136,R97:R136)</f>
        <v>9</v>
      </c>
      <c r="I171" s="60" t="s">
        <v>66</v>
      </c>
      <c r="J171" s="68">
        <f>_xlfn.XLOOKUP(H171,NCFA27[k],NCFA27[Poisson acumulado '[%']])</f>
        <v>99.939992803902044</v>
      </c>
      <c r="K171" s="60" t="s">
        <v>69</v>
      </c>
      <c r="L171" s="66">
        <f>_xlfn.XLOOKUP(H171,Tabla948[CANTIDAD DE REPUESTOS],Tabla948[COSTO TOTAL DE INVENTARIO])</f>
        <v>1417416.48</v>
      </c>
      <c r="M171" s="60" t="s">
        <v>70</v>
      </c>
      <c r="N171" s="58">
        <f>_xlfn.XLOOKUP(H171,E97:E136,G97:G136)</f>
        <v>101908.84565663147</v>
      </c>
    </row>
    <row r="172" spans="2:14" ht="65.25" customHeight="1" thickBot="1" x14ac:dyDescent="0.35">
      <c r="B172" s="63"/>
      <c r="C172" s="61"/>
      <c r="D172" s="65"/>
      <c r="E172" s="61"/>
      <c r="F172" s="69"/>
      <c r="G172" s="61"/>
      <c r="H172" s="65"/>
      <c r="I172" s="61"/>
      <c r="J172" s="69"/>
      <c r="K172" s="61"/>
      <c r="L172" s="67"/>
      <c r="M172" s="61"/>
      <c r="N172" s="59"/>
    </row>
  </sheetData>
  <mergeCells count="84">
    <mergeCell ref="B1:D1"/>
    <mergeCell ref="E1:I1"/>
    <mergeCell ref="J1:N1"/>
    <mergeCell ref="B2:C2"/>
    <mergeCell ref="D2:H2"/>
    <mergeCell ref="I2:K2"/>
    <mergeCell ref="L2:N2"/>
    <mergeCell ref="B3:C3"/>
    <mergeCell ref="D3:H3"/>
    <mergeCell ref="I3:K3"/>
    <mergeCell ref="L3:N3"/>
    <mergeCell ref="B4:C4"/>
    <mergeCell ref="D4:H4"/>
    <mergeCell ref="I4:K4"/>
    <mergeCell ref="L4:N4"/>
    <mergeCell ref="H7:N25"/>
    <mergeCell ref="B8:B9"/>
    <mergeCell ref="C8:C9"/>
    <mergeCell ref="D8:D9"/>
    <mergeCell ref="E8:E9"/>
    <mergeCell ref="B5:C5"/>
    <mergeCell ref="D5:H5"/>
    <mergeCell ref="I5:K5"/>
    <mergeCell ref="L5:N5"/>
    <mergeCell ref="B6:N6"/>
    <mergeCell ref="B96:D96"/>
    <mergeCell ref="H96:N136"/>
    <mergeCell ref="B97:D98"/>
    <mergeCell ref="B99:C100"/>
    <mergeCell ref="D99:D100"/>
    <mergeCell ref="B101:C102"/>
    <mergeCell ref="D101:D102"/>
    <mergeCell ref="B103:C104"/>
    <mergeCell ref="D103:D104"/>
    <mergeCell ref="B105:C106"/>
    <mergeCell ref="D105:D106"/>
    <mergeCell ref="B119:C120"/>
    <mergeCell ref="D119:D120"/>
    <mergeCell ref="B107:C108"/>
    <mergeCell ref="D107:D108"/>
    <mergeCell ref="B109:C110"/>
    <mergeCell ref="H26:N51"/>
    <mergeCell ref="B52:N52"/>
    <mergeCell ref="C53:D53"/>
    <mergeCell ref="H54:N94"/>
    <mergeCell ref="B95:N95"/>
    <mergeCell ref="D109:D110"/>
    <mergeCell ref="B111:C112"/>
    <mergeCell ref="D111:D112"/>
    <mergeCell ref="B113:C114"/>
    <mergeCell ref="D113:D114"/>
    <mergeCell ref="B115:C116"/>
    <mergeCell ref="D115:D116"/>
    <mergeCell ref="B117:D118"/>
    <mergeCell ref="B133:C134"/>
    <mergeCell ref="D133:D134"/>
    <mergeCell ref="B121:C122"/>
    <mergeCell ref="D121:D122"/>
    <mergeCell ref="B123:C124"/>
    <mergeCell ref="D123:D124"/>
    <mergeCell ref="B125:C126"/>
    <mergeCell ref="D125:D126"/>
    <mergeCell ref="B127:D128"/>
    <mergeCell ref="B129:C130"/>
    <mergeCell ref="D129:D130"/>
    <mergeCell ref="B131:C132"/>
    <mergeCell ref="D131:D132"/>
    <mergeCell ref="B171:C172"/>
    <mergeCell ref="D171:D172"/>
    <mergeCell ref="E171:E172"/>
    <mergeCell ref="F171:F172"/>
    <mergeCell ref="G171:G172"/>
    <mergeCell ref="B135:C136"/>
    <mergeCell ref="D135:D136"/>
    <mergeCell ref="B137:N137"/>
    <mergeCell ref="B138:G170"/>
    <mergeCell ref="H138:N170"/>
    <mergeCell ref="N171:N172"/>
    <mergeCell ref="H171:H172"/>
    <mergeCell ref="I171:I172"/>
    <mergeCell ref="J171:J172"/>
    <mergeCell ref="K171:K172"/>
    <mergeCell ref="L171:L172"/>
    <mergeCell ref="M171:M172"/>
  </mergeCell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GENERAL</vt:lpstr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</dc:creator>
  <cp:lastModifiedBy>Julian Fernando Garcia Jauregui</cp:lastModifiedBy>
  <cp:lastPrinted>2022-06-30T21:29:28Z</cp:lastPrinted>
  <dcterms:created xsi:type="dcterms:W3CDTF">2022-06-29T13:14:00Z</dcterms:created>
  <dcterms:modified xsi:type="dcterms:W3CDTF">2025-08-13T23:36:45Z</dcterms:modified>
</cp:coreProperties>
</file>