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Documents\TRABAJO DE GRADO 1\TRABAJO GRADO II\"/>
    </mc:Choice>
  </mc:AlternateContent>
  <xr:revisionPtr revIDLastSave="0" documentId="13_ncr:1_{4069AD44-B870-47E6-A952-DB0A12EAA486}" xr6:coauthVersionLast="47" xr6:coauthVersionMax="47" xr10:uidLastSave="{00000000-0000-0000-0000-000000000000}"/>
  <bookViews>
    <workbookView xWindow="24" yWindow="24" windowWidth="23016" windowHeight="12336" xr2:uid="{A7F0B954-33CC-44CC-BB6C-DCA85C43A917}"/>
  </bookViews>
  <sheets>
    <sheet name="ANALISIS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F6" i="1"/>
  <c r="G6" i="1" s="1"/>
  <c r="E3" i="1"/>
  <c r="E2" i="1"/>
  <c r="G7" i="1" l="1"/>
  <c r="H46" i="1" l="1"/>
  <c r="G46" i="1"/>
  <c r="F46" i="1"/>
  <c r="E46" i="1"/>
  <c r="C46" i="1"/>
  <c r="B46" i="1"/>
  <c r="H45" i="1"/>
  <c r="G45" i="1"/>
  <c r="F45" i="1"/>
  <c r="E45" i="1"/>
  <c r="C45" i="1"/>
  <c r="B45" i="1"/>
  <c r="H44" i="1"/>
  <c r="G44" i="1"/>
  <c r="F44" i="1"/>
  <c r="E44" i="1"/>
  <c r="C44" i="1"/>
  <c r="B44" i="1"/>
  <c r="H43" i="1"/>
  <c r="G43" i="1"/>
  <c r="F43" i="1"/>
  <c r="E43" i="1"/>
  <c r="C43" i="1"/>
  <c r="B43" i="1"/>
  <c r="H42" i="1"/>
  <c r="G42" i="1"/>
  <c r="F42" i="1"/>
  <c r="E42" i="1"/>
  <c r="C42" i="1"/>
  <c r="B42" i="1"/>
  <c r="H41" i="1"/>
  <c r="G41" i="1"/>
  <c r="F41" i="1"/>
  <c r="E41" i="1"/>
  <c r="C41" i="1"/>
  <c r="B41" i="1"/>
  <c r="H40" i="1"/>
  <c r="G40" i="1"/>
  <c r="F40" i="1"/>
  <c r="E40" i="1"/>
  <c r="C40" i="1"/>
  <c r="B40" i="1"/>
  <c r="H39" i="1"/>
  <c r="G39" i="1"/>
  <c r="F39" i="1"/>
  <c r="E39" i="1"/>
  <c r="C39" i="1"/>
  <c r="B39" i="1"/>
  <c r="H38" i="1"/>
  <c r="G38" i="1"/>
  <c r="F38" i="1"/>
  <c r="E38" i="1"/>
  <c r="C38" i="1"/>
  <c r="B38" i="1"/>
  <c r="H37" i="1"/>
  <c r="G37" i="1"/>
  <c r="F37" i="1"/>
  <c r="E37" i="1"/>
  <c r="C37" i="1"/>
  <c r="B37" i="1"/>
  <c r="H36" i="1"/>
  <c r="G36" i="1"/>
  <c r="F36" i="1"/>
  <c r="E36" i="1"/>
  <c r="C36" i="1"/>
  <c r="B36" i="1"/>
  <c r="H35" i="1"/>
  <c r="G35" i="1"/>
  <c r="F35" i="1"/>
  <c r="E35" i="1"/>
  <c r="C35" i="1"/>
  <c r="B35" i="1"/>
  <c r="H34" i="1"/>
  <c r="G34" i="1"/>
  <c r="F34" i="1"/>
  <c r="E34" i="1"/>
  <c r="C34" i="1"/>
  <c r="B34" i="1"/>
  <c r="H33" i="1"/>
  <c r="G33" i="1"/>
  <c r="F33" i="1"/>
  <c r="E33" i="1"/>
  <c r="C33" i="1"/>
  <c r="B33" i="1"/>
  <c r="H32" i="1"/>
  <c r="G32" i="1"/>
  <c r="F32" i="1"/>
  <c r="E32" i="1"/>
  <c r="C32" i="1"/>
  <c r="B32" i="1"/>
  <c r="H31" i="1"/>
  <c r="G31" i="1"/>
  <c r="F31" i="1"/>
  <c r="E31" i="1"/>
  <c r="C31" i="1"/>
  <c r="B31" i="1"/>
  <c r="H30" i="1"/>
  <c r="G30" i="1"/>
  <c r="F30" i="1"/>
  <c r="E30" i="1"/>
  <c r="C30" i="1"/>
  <c r="B30" i="1"/>
  <c r="H29" i="1"/>
  <c r="G29" i="1"/>
  <c r="F29" i="1"/>
  <c r="E29" i="1"/>
  <c r="C29" i="1"/>
  <c r="B29" i="1"/>
  <c r="H28" i="1"/>
  <c r="G28" i="1"/>
  <c r="F28" i="1"/>
  <c r="E28" i="1"/>
  <c r="C28" i="1"/>
  <c r="B28" i="1"/>
  <c r="H27" i="1"/>
  <c r="G27" i="1"/>
  <c r="F27" i="1"/>
  <c r="E27" i="1"/>
  <c r="C27" i="1"/>
  <c r="B27" i="1"/>
  <c r="H26" i="1"/>
  <c r="G26" i="1"/>
  <c r="F26" i="1"/>
  <c r="E26" i="1"/>
  <c r="C26" i="1"/>
  <c r="B26" i="1"/>
  <c r="H25" i="1"/>
  <c r="G25" i="1"/>
  <c r="F25" i="1"/>
  <c r="E25" i="1"/>
  <c r="C25" i="1"/>
  <c r="B25" i="1"/>
  <c r="H24" i="1"/>
  <c r="G24" i="1"/>
  <c r="F24" i="1"/>
  <c r="E24" i="1"/>
  <c r="C24" i="1"/>
  <c r="B24" i="1"/>
  <c r="H23" i="1"/>
  <c r="G23" i="1"/>
  <c r="F23" i="1"/>
  <c r="E23" i="1"/>
  <c r="C23" i="1"/>
  <c r="B23" i="1"/>
  <c r="H22" i="1"/>
  <c r="G22" i="1"/>
  <c r="F22" i="1"/>
  <c r="E22" i="1"/>
  <c r="C22" i="1"/>
  <c r="B22" i="1"/>
  <c r="H21" i="1"/>
  <c r="G21" i="1"/>
  <c r="F21" i="1"/>
  <c r="E21" i="1"/>
  <c r="C21" i="1"/>
  <c r="B21" i="1"/>
  <c r="H20" i="1"/>
  <c r="G20" i="1"/>
  <c r="F20" i="1"/>
  <c r="E20" i="1"/>
  <c r="C20" i="1"/>
  <c r="B20" i="1"/>
  <c r="H19" i="1"/>
  <c r="G19" i="1"/>
  <c r="F19" i="1"/>
  <c r="E19" i="1"/>
  <c r="C19" i="1"/>
  <c r="B19" i="1"/>
  <c r="H18" i="1"/>
  <c r="G18" i="1"/>
  <c r="F18" i="1"/>
  <c r="E18" i="1"/>
  <c r="C18" i="1"/>
  <c r="B18" i="1"/>
  <c r="H17" i="1"/>
  <c r="G17" i="1"/>
  <c r="F17" i="1"/>
  <c r="E17" i="1"/>
  <c r="C17" i="1"/>
  <c r="B17" i="1"/>
  <c r="G16" i="1"/>
  <c r="F16" i="1"/>
  <c r="E16" i="1"/>
  <c r="C16" i="1"/>
  <c r="B16" i="1"/>
  <c r="H15" i="1"/>
  <c r="G15" i="1"/>
  <c r="F15" i="1"/>
  <c r="E15" i="1"/>
  <c r="C15" i="1"/>
  <c r="B15" i="1"/>
  <c r="H14" i="1"/>
  <c r="G14" i="1"/>
  <c r="F14" i="1"/>
  <c r="E14" i="1"/>
  <c r="C14" i="1"/>
  <c r="B14" i="1"/>
  <c r="H13" i="1"/>
  <c r="G13" i="1"/>
  <c r="F13" i="1"/>
  <c r="E13" i="1"/>
  <c r="C13" i="1"/>
  <c r="B13" i="1"/>
  <c r="K3" i="1"/>
  <c r="K2" i="1"/>
  <c r="I19" i="1" l="1"/>
  <c r="J19" i="1" s="1"/>
  <c r="I23" i="1"/>
  <c r="J23" i="1" s="1"/>
  <c r="I27" i="1"/>
  <c r="J27" i="1" s="1"/>
  <c r="I31" i="1"/>
  <c r="J31" i="1" s="1"/>
  <c r="I35" i="1"/>
  <c r="J35" i="1" s="1"/>
  <c r="I39" i="1"/>
  <c r="J39" i="1" s="1"/>
  <c r="I43" i="1"/>
  <c r="J43" i="1" s="1"/>
  <c r="AK57" i="1"/>
  <c r="E9" i="1"/>
  <c r="G47" i="1"/>
  <c r="G49" i="1" s="1"/>
  <c r="I16" i="1"/>
  <c r="J16" i="1" s="1"/>
  <c r="I20" i="1"/>
  <c r="J20" i="1" s="1"/>
  <c r="I24" i="1"/>
  <c r="J24" i="1" s="1"/>
  <c r="I28" i="1"/>
  <c r="J28" i="1" s="1"/>
  <c r="I32" i="1"/>
  <c r="J32" i="1" s="1"/>
  <c r="I36" i="1"/>
  <c r="J36" i="1" s="1"/>
  <c r="I40" i="1"/>
  <c r="J40" i="1" s="1"/>
  <c r="I44" i="1"/>
  <c r="J44" i="1" s="1"/>
  <c r="H47" i="1"/>
  <c r="H48" i="1" s="1"/>
  <c r="I48" i="1" s="1"/>
  <c r="J48" i="1" s="1"/>
  <c r="I15" i="1"/>
  <c r="J15" i="1" s="1"/>
  <c r="I14" i="1"/>
  <c r="J14" i="1" s="1"/>
  <c r="I18" i="1"/>
  <c r="J18" i="1" s="1"/>
  <c r="I22" i="1"/>
  <c r="J22" i="1" s="1"/>
  <c r="I26" i="1"/>
  <c r="J26" i="1" s="1"/>
  <c r="I30" i="1"/>
  <c r="J30" i="1" s="1"/>
  <c r="I34" i="1"/>
  <c r="J34" i="1" s="1"/>
  <c r="I38" i="1"/>
  <c r="J38" i="1" s="1"/>
  <c r="I42" i="1"/>
  <c r="J42" i="1" s="1"/>
  <c r="I46" i="1"/>
  <c r="J46" i="1" s="1"/>
  <c r="E47" i="1"/>
  <c r="E49" i="1" s="1"/>
  <c r="I17" i="1"/>
  <c r="J17" i="1" s="1"/>
  <c r="I21" i="1"/>
  <c r="J21" i="1" s="1"/>
  <c r="I25" i="1"/>
  <c r="J25" i="1" s="1"/>
  <c r="I29" i="1"/>
  <c r="J29" i="1" s="1"/>
  <c r="I33" i="1"/>
  <c r="J33" i="1" s="1"/>
  <c r="I37" i="1"/>
  <c r="J37" i="1" s="1"/>
  <c r="I41" i="1"/>
  <c r="J41" i="1" s="1"/>
  <c r="I45" i="1"/>
  <c r="J45" i="1" s="1"/>
  <c r="F47" i="1"/>
  <c r="F49" i="1" s="1"/>
  <c r="G57" i="1"/>
  <c r="O57" i="1"/>
  <c r="W57" i="1"/>
  <c r="AE57" i="1"/>
  <c r="F57" i="1"/>
  <c r="N57" i="1"/>
  <c r="V57" i="1"/>
  <c r="AD57" i="1"/>
  <c r="AL57" i="1"/>
  <c r="H57" i="1"/>
  <c r="P57" i="1"/>
  <c r="X57" i="1"/>
  <c r="AF57" i="1"/>
  <c r="I57" i="1"/>
  <c r="Q57" i="1"/>
  <c r="Y57" i="1"/>
  <c r="AG57" i="1"/>
  <c r="I13" i="1"/>
  <c r="J57" i="1"/>
  <c r="R57" i="1"/>
  <c r="Z57" i="1"/>
  <c r="AH57" i="1"/>
  <c r="K57" i="1"/>
  <c r="S57" i="1"/>
  <c r="AA57" i="1"/>
  <c r="AI57" i="1"/>
  <c r="L57" i="1"/>
  <c r="T57" i="1"/>
  <c r="AB57" i="1"/>
  <c r="AJ57" i="1"/>
  <c r="E57" i="1"/>
  <c r="M57" i="1"/>
  <c r="U57" i="1"/>
  <c r="AC57" i="1"/>
  <c r="H49" i="1" l="1"/>
  <c r="F9" i="1"/>
  <c r="J13" i="1"/>
  <c r="I47" i="1"/>
  <c r="I49" i="1" l="1"/>
  <c r="E56" i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AD56" i="1" s="1"/>
  <c r="AE56" i="1" s="1"/>
  <c r="AF56" i="1" s="1"/>
  <c r="AG56" i="1" s="1"/>
  <c r="AH56" i="1" s="1"/>
  <c r="AI56" i="1" s="1"/>
  <c r="AJ56" i="1" s="1"/>
  <c r="AK56" i="1" s="1"/>
  <c r="AL56" i="1" s="1"/>
  <c r="J47" i="1"/>
  <c r="H6" i="1" l="1"/>
  <c r="I6" i="1" s="1"/>
  <c r="J49" i="1"/>
  <c r="H7" i="1" l="1"/>
  <c r="E10" i="1"/>
  <c r="F10" i="1" s="1"/>
  <c r="G9" i="1" s="1"/>
</calcChain>
</file>

<file path=xl/sharedStrings.xml><?xml version="1.0" encoding="utf-8"?>
<sst xmlns="http://schemas.openxmlformats.org/spreadsheetml/2006/main" count="98" uniqueCount="63">
  <si>
    <t>VALOR CONTRATADO</t>
  </si>
  <si>
    <t xml:space="preserve">VALOR PRESUPUESTADO </t>
  </si>
  <si>
    <t>RF.</t>
  </si>
  <si>
    <t>Valor de ejecución</t>
  </si>
  <si>
    <t>Ejecución</t>
  </si>
  <si>
    <t>Gasto previsto</t>
  </si>
  <si>
    <t>Gasto real</t>
  </si>
  <si>
    <t>Diferencia Gasto</t>
  </si>
  <si>
    <t>TI&amp;CON COSTO DIFRECTO E INDIRECTO</t>
  </si>
  <si>
    <t>BALNCE DE LA UTILIDAD</t>
  </si>
  <si>
    <t>UTILIDAD ESPERADA</t>
  </si>
  <si>
    <t>UTILIDAD REAL</t>
  </si>
  <si>
    <t>FECHA</t>
  </si>
  <si>
    <t>SEMANA</t>
  </si>
  <si>
    <t>MATERIALES</t>
  </si>
  <si>
    <t>MANO DE OBRA</t>
  </si>
  <si>
    <t>OTRAS CLASES</t>
  </si>
  <si>
    <t>INDIRECTOS</t>
  </si>
  <si>
    <t>Gasto Total</t>
  </si>
  <si>
    <t>% costo</t>
  </si>
  <si>
    <t>Sem 0</t>
  </si>
  <si>
    <t>Sem 1</t>
  </si>
  <si>
    <t>Sem 2</t>
  </si>
  <si>
    <t>Sem 3</t>
  </si>
  <si>
    <t>Sem 4</t>
  </si>
  <si>
    <t>Sem 5</t>
  </si>
  <si>
    <t>Sem 6</t>
  </si>
  <si>
    <t>Sem 7</t>
  </si>
  <si>
    <t>Sem 8</t>
  </si>
  <si>
    <t>Sem 9</t>
  </si>
  <si>
    <t>Sem 10</t>
  </si>
  <si>
    <t>Sem 11</t>
  </si>
  <si>
    <t>Sem 12</t>
  </si>
  <si>
    <t>Sem 13</t>
  </si>
  <si>
    <t>Sem 14</t>
  </si>
  <si>
    <t>Sem 15</t>
  </si>
  <si>
    <t>Sem 16</t>
  </si>
  <si>
    <t>Sem 17</t>
  </si>
  <si>
    <t>Sem 18</t>
  </si>
  <si>
    <t>Sem 19</t>
  </si>
  <si>
    <t>Sem 20</t>
  </si>
  <si>
    <t>Sem 21</t>
  </si>
  <si>
    <t>Sem 22</t>
  </si>
  <si>
    <t>Sem 23</t>
  </si>
  <si>
    <t>Sem 24</t>
  </si>
  <si>
    <t>Sem 25</t>
  </si>
  <si>
    <t>Sem 26</t>
  </si>
  <si>
    <t>Sem 27</t>
  </si>
  <si>
    <t>Sem 28</t>
  </si>
  <si>
    <t>Sem 29</t>
  </si>
  <si>
    <t>Sem 30</t>
  </si>
  <si>
    <t>Sem 31</t>
  </si>
  <si>
    <t>Sem 32</t>
  </si>
  <si>
    <t>Sem 33</t>
  </si>
  <si>
    <t>TOTAL</t>
  </si>
  <si>
    <t>INVENTARIO</t>
  </si>
  <si>
    <t>Control de obra</t>
  </si>
  <si>
    <t xml:space="preserve">Porcentaje </t>
  </si>
  <si>
    <t>Seguimiento</t>
  </si>
  <si>
    <t>Avance</t>
  </si>
  <si>
    <t>Costo</t>
  </si>
  <si>
    <t>PRODUCCIÓN  $</t>
  </si>
  <si>
    <t>VALOR PRESUPUESTADO DESPUES DEL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</si>
</sst>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_-;\-&quot;$&quot;* #,##0_-;_-&quot;$&quot;* &quot;-&quot;_-;_-@_-"/>
    <numFmt numFmtId="165" formatCode="0.0000%"/>
    <numFmt numFmtId="166" formatCode="_-&quot;$&quot;* #,##0.00_-;\-&quot;$&quot;* #,##0.00_-;_-&quot;$&quot;* &quot;-&quot;??_-;_-@_-"/>
    <numFmt numFmtId="167" formatCode="_-&quot;$&quot;* #,##0_-;\-&quot;$&quot;* #,##0_-;_-&quot;$&quot;* &quot;-&quot;??_-;_-@_-"/>
    <numFmt numFmtId="168" formatCode="0.0%"/>
    <numFmt numFmtId="169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4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2" applyFont="1" applyBorder="1" applyAlignment="1">
      <alignment vertical="center"/>
    </xf>
    <xf numFmtId="10" fontId="0" fillId="0" borderId="1" xfId="0" applyNumberFormat="1" applyBorder="1"/>
    <xf numFmtId="164" fontId="0" fillId="0" borderId="8" xfId="0" applyNumberFormat="1" applyBorder="1"/>
    <xf numFmtId="10" fontId="3" fillId="0" borderId="8" xfId="3" applyNumberFormat="1" applyFont="1" applyBorder="1" applyAlignment="1">
      <alignment horizontal="center"/>
    </xf>
    <xf numFmtId="164" fontId="0" fillId="0" borderId="13" xfId="0" applyNumberFormat="1" applyBorder="1"/>
    <xf numFmtId="10" fontId="3" fillId="0" borderId="13" xfId="3" applyNumberFormat="1" applyFont="1" applyBorder="1" applyAlignment="1">
      <alignment horizontal="center"/>
    </xf>
    <xf numFmtId="164" fontId="0" fillId="0" borderId="0" xfId="2" applyFont="1" applyFill="1" applyBorder="1" applyAlignment="1">
      <alignment vertic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14" fontId="4" fillId="5" borderId="21" xfId="0" applyNumberFormat="1" applyFont="1" applyFill="1" applyBorder="1" applyAlignment="1">
      <alignment horizontal="center"/>
    </xf>
    <xf numFmtId="14" fontId="4" fillId="5" borderId="22" xfId="0" applyNumberFormat="1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166" fontId="0" fillId="0" borderId="21" xfId="1" applyFont="1" applyBorder="1"/>
    <xf numFmtId="166" fontId="0" fillId="0" borderId="22" xfId="1" applyFont="1" applyBorder="1"/>
    <xf numFmtId="166" fontId="0" fillId="0" borderId="23" xfId="1" applyFont="1" applyBorder="1"/>
    <xf numFmtId="166" fontId="0" fillId="0" borderId="24" xfId="1" applyFont="1" applyBorder="1"/>
    <xf numFmtId="164" fontId="0" fillId="0" borderId="21" xfId="2" applyFont="1" applyBorder="1"/>
    <xf numFmtId="10" fontId="0" fillId="0" borderId="25" xfId="3" applyNumberFormat="1" applyFont="1" applyBorder="1" applyAlignment="1">
      <alignment horizontal="center"/>
    </xf>
    <xf numFmtId="14" fontId="4" fillId="5" borderId="26" xfId="0" applyNumberFormat="1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166" fontId="0" fillId="0" borderId="26" xfId="1" applyFont="1" applyBorder="1"/>
    <xf numFmtId="166" fontId="0" fillId="0" borderId="1" xfId="1" applyFont="1" applyBorder="1"/>
    <xf numFmtId="166" fontId="0" fillId="0" borderId="27" xfId="1" applyFont="1" applyBorder="1"/>
    <xf numFmtId="166" fontId="0" fillId="0" borderId="28" xfId="1" applyFont="1" applyBorder="1"/>
    <xf numFmtId="164" fontId="0" fillId="0" borderId="26" xfId="2" applyFont="1" applyBorder="1"/>
    <xf numFmtId="10" fontId="0" fillId="0" borderId="29" xfId="3" applyNumberFormat="1" applyFont="1" applyBorder="1" applyAlignment="1">
      <alignment horizontal="center"/>
    </xf>
    <xf numFmtId="164" fontId="3" fillId="6" borderId="34" xfId="0" applyNumberFormat="1" applyFont="1" applyFill="1" applyBorder="1"/>
    <xf numFmtId="9" fontId="3" fillId="6" borderId="34" xfId="3" applyFont="1" applyFill="1" applyBorder="1" applyAlignment="1">
      <alignment horizontal="center"/>
    </xf>
    <xf numFmtId="164" fontId="3" fillId="7" borderId="34" xfId="0" applyNumberFormat="1" applyFont="1" applyFill="1" applyBorder="1"/>
    <xf numFmtId="164" fontId="3" fillId="7" borderId="35" xfId="0" applyNumberFormat="1" applyFont="1" applyFill="1" applyBorder="1"/>
    <xf numFmtId="167" fontId="3" fillId="7" borderId="36" xfId="1" applyNumberFormat="1" applyFont="1" applyFill="1" applyBorder="1"/>
    <xf numFmtId="164" fontId="3" fillId="7" borderId="33" xfId="0" applyNumberFormat="1" applyFont="1" applyFill="1" applyBorder="1"/>
    <xf numFmtId="168" fontId="3" fillId="7" borderId="37" xfId="3" applyNumberFormat="1" applyFont="1" applyFill="1" applyBorder="1" applyAlignment="1">
      <alignment horizontal="center"/>
    </xf>
    <xf numFmtId="164" fontId="3" fillId="8" borderId="34" xfId="0" applyNumberFormat="1" applyFont="1" applyFill="1" applyBorder="1"/>
    <xf numFmtId="164" fontId="3" fillId="8" borderId="36" xfId="0" applyNumberFormat="1" applyFont="1" applyFill="1" applyBorder="1"/>
    <xf numFmtId="164" fontId="3" fillId="8" borderId="33" xfId="0" applyNumberFormat="1" applyFont="1" applyFill="1" applyBorder="1"/>
    <xf numFmtId="9" fontId="3" fillId="8" borderId="37" xfId="3" applyFont="1" applyFill="1" applyBorder="1" applyAlignment="1">
      <alignment horizontal="center"/>
    </xf>
    <xf numFmtId="9" fontId="0" fillId="0" borderId="0" xfId="3" applyFont="1"/>
    <xf numFmtId="0" fontId="3" fillId="4" borderId="22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3" applyNumberFormat="1" applyFont="1" applyBorder="1" applyAlignment="1">
      <alignment horizontal="center"/>
    </xf>
    <xf numFmtId="0" fontId="0" fillId="0" borderId="29" xfId="3" applyNumberFormat="1" applyFon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164" fontId="0" fillId="10" borderId="11" xfId="2" applyFont="1" applyFill="1" applyBorder="1" applyAlignment="1">
      <alignment horizontal="center"/>
    </xf>
    <xf numFmtId="164" fontId="0" fillId="10" borderId="30" xfId="2" applyFon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6" borderId="32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/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0" xfId="0" applyFont="1" applyFill="1" applyBorder="1" applyAlignment="1">
      <alignment horizontal="center"/>
    </xf>
    <xf numFmtId="169" fontId="0" fillId="0" borderId="29" xfId="3" applyNumberFormat="1" applyFont="1" applyBorder="1" applyAlignment="1">
      <alignment horizontal="center"/>
    </xf>
  </cellXfs>
  <cellStyles count="4">
    <cellStyle name="Moneda" xfId="1" builtinId="4"/>
    <cellStyle name="Moneda [0]" xfId="2" builtinId="7"/>
    <cellStyle name="Normal" xfId="0" builtinId="0"/>
    <cellStyle name="Porcentaje" xfId="3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CONTROL DE OBRA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ANALISIS!$B$55</c:f>
              <c:strCache>
                <c:ptCount val="1"/>
                <c:pt idx="0">
                  <c:v>Avance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ANALISIS!$E$54:$AL$54</c:f>
              <c:numCache>
                <c:formatCode>General</c:formatCode>
                <c:ptCount val="3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</c:numCache>
            </c:numRef>
          </c:xVal>
          <c:yVal>
            <c:numRef>
              <c:f>ANALISIS!$E$55:$AL$55</c:f>
              <c:numCache>
                <c:formatCode>0.00%</c:formatCode>
                <c:ptCount val="34"/>
                <c:pt idx="0">
                  <c:v>0</c:v>
                </c:pt>
                <c:pt idx="1">
                  <c:v>1.41E-2</c:v>
                </c:pt>
                <c:pt idx="2">
                  <c:v>1.7299999999999999E-2</c:v>
                </c:pt>
                <c:pt idx="3">
                  <c:v>3.6999999999999998E-2</c:v>
                </c:pt>
                <c:pt idx="4">
                  <c:v>4.6789999999999998E-2</c:v>
                </c:pt>
                <c:pt idx="5">
                  <c:v>5.9700000000000003E-2</c:v>
                </c:pt>
                <c:pt idx="6">
                  <c:v>6.9000000000000006E-2</c:v>
                </c:pt>
                <c:pt idx="7">
                  <c:v>9.1999999999999998E-2</c:v>
                </c:pt>
                <c:pt idx="8">
                  <c:v>9.8199999999999996E-2</c:v>
                </c:pt>
                <c:pt idx="9">
                  <c:v>0.10203</c:v>
                </c:pt>
                <c:pt idx="10">
                  <c:v>0.10703</c:v>
                </c:pt>
                <c:pt idx="11">
                  <c:v>0.11068</c:v>
                </c:pt>
                <c:pt idx="12">
                  <c:v>0.11466999999999999</c:v>
                </c:pt>
                <c:pt idx="13">
                  <c:v>0.127</c:v>
                </c:pt>
                <c:pt idx="14">
                  <c:v>0.12909999999999999</c:v>
                </c:pt>
                <c:pt idx="15">
                  <c:v>0.13489999999999999</c:v>
                </c:pt>
                <c:pt idx="16">
                  <c:v>0.14199999999999999</c:v>
                </c:pt>
                <c:pt idx="17">
                  <c:v>0.1578</c:v>
                </c:pt>
                <c:pt idx="18">
                  <c:v>0.16830000000000001</c:v>
                </c:pt>
                <c:pt idx="19">
                  <c:v>0.17169999999999999</c:v>
                </c:pt>
                <c:pt idx="20">
                  <c:v>0.17599999999999999</c:v>
                </c:pt>
                <c:pt idx="21">
                  <c:v>0.1777</c:v>
                </c:pt>
                <c:pt idx="22">
                  <c:v>0.1847</c:v>
                </c:pt>
                <c:pt idx="23">
                  <c:v>0.185</c:v>
                </c:pt>
                <c:pt idx="24">
                  <c:v>0.18640000000000001</c:v>
                </c:pt>
                <c:pt idx="25">
                  <c:v>0.19409999999999999</c:v>
                </c:pt>
                <c:pt idx="26">
                  <c:v>0.20252000000000001</c:v>
                </c:pt>
                <c:pt idx="27">
                  <c:v>0.23719999999999999</c:v>
                </c:pt>
                <c:pt idx="28">
                  <c:v>0.27618999999999999</c:v>
                </c:pt>
                <c:pt idx="29">
                  <c:v>0.30629000000000001</c:v>
                </c:pt>
                <c:pt idx="30">
                  <c:v>0.32890000000000003</c:v>
                </c:pt>
                <c:pt idx="31">
                  <c:v>0.37941000000000003</c:v>
                </c:pt>
                <c:pt idx="32">
                  <c:v>0.39800000000000002</c:v>
                </c:pt>
                <c:pt idx="33">
                  <c:v>0.46618999999999999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8F-484D-A12B-D797777B83C9}"/>
            </c:ext>
          </c:extLst>
        </c:ser>
        <c:ser>
          <c:idx val="1"/>
          <c:order val="1"/>
          <c:tx>
            <c:strRef>
              <c:f>ANALISIS!$B$56</c:f>
              <c:strCache>
                <c:ptCount val="1"/>
                <c:pt idx="0">
                  <c:v>Costo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ANALISIS!$E$54:$AL$54</c:f>
              <c:numCache>
                <c:formatCode>General</c:formatCode>
                <c:ptCount val="3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</c:numCache>
            </c:numRef>
          </c:xVal>
          <c:yVal>
            <c:numRef>
              <c:f>ANALISIS!$E$56:$AL$56</c:f>
              <c:numCache>
                <c:formatCode>0.00%</c:formatCode>
                <c:ptCount val="34"/>
                <c:pt idx="0">
                  <c:v>0</c:v>
                </c:pt>
                <c:pt idx="1">
                  <c:v>4.3004205208026877E-2</c:v>
                </c:pt>
                <c:pt idx="2">
                  <c:v>4.7082614058893787E-2</c:v>
                </c:pt>
                <c:pt idx="3">
                  <c:v>5.1493140540477274E-2</c:v>
                </c:pt>
                <c:pt idx="4">
                  <c:v>5.3631319865779917E-2</c:v>
                </c:pt>
                <c:pt idx="5">
                  <c:v>5.4422231331797792E-2</c:v>
                </c:pt>
                <c:pt idx="6">
                  <c:v>5.4422231331797792E-2</c:v>
                </c:pt>
                <c:pt idx="7">
                  <c:v>6.1632155333614248E-2</c:v>
                </c:pt>
                <c:pt idx="8">
                  <c:v>6.6162189841413255E-2</c:v>
                </c:pt>
                <c:pt idx="9">
                  <c:v>7.8027462808142503E-2</c:v>
                </c:pt>
                <c:pt idx="10">
                  <c:v>0.11063579100299831</c:v>
                </c:pt>
                <c:pt idx="11">
                  <c:v>0.11809518538584297</c:v>
                </c:pt>
                <c:pt idx="12">
                  <c:v>0.15158771295635592</c:v>
                </c:pt>
                <c:pt idx="13">
                  <c:v>0.16545676812913365</c:v>
                </c:pt>
                <c:pt idx="14">
                  <c:v>0.16848201593748563</c:v>
                </c:pt>
                <c:pt idx="15">
                  <c:v>0.16965697575959873</c:v>
                </c:pt>
                <c:pt idx="16">
                  <c:v>0.17007524624643511</c:v>
                </c:pt>
                <c:pt idx="17">
                  <c:v>0.17056196099475379</c:v>
                </c:pt>
                <c:pt idx="18">
                  <c:v>0.18832304803513153</c:v>
                </c:pt>
                <c:pt idx="19">
                  <c:v>0.19344876718267184</c:v>
                </c:pt>
                <c:pt idx="20">
                  <c:v>0.19592249018681665</c:v>
                </c:pt>
                <c:pt idx="21">
                  <c:v>0.24539733047215323</c:v>
                </c:pt>
                <c:pt idx="22">
                  <c:v>0.25694822584370702</c:v>
                </c:pt>
                <c:pt idx="23">
                  <c:v>0.27409555254945273</c:v>
                </c:pt>
                <c:pt idx="24">
                  <c:v>0.28191069302133293</c:v>
                </c:pt>
                <c:pt idx="25">
                  <c:v>0.28638532569105679</c:v>
                </c:pt>
                <c:pt idx="26">
                  <c:v>0.35142571690059454</c:v>
                </c:pt>
                <c:pt idx="27">
                  <c:v>0.37197858420156737</c:v>
                </c:pt>
                <c:pt idx="28">
                  <c:v>0.37497086210496661</c:v>
                </c:pt>
                <c:pt idx="29">
                  <c:v>0.40062910938513346</c:v>
                </c:pt>
                <c:pt idx="30">
                  <c:v>0.41264648663168413</c:v>
                </c:pt>
                <c:pt idx="31">
                  <c:v>0.44295376749216431</c:v>
                </c:pt>
                <c:pt idx="32">
                  <c:v>0.44565199127001087</c:v>
                </c:pt>
                <c:pt idx="33" formatCode="0.000%">
                  <c:v>0.45514987482489233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8F-484D-A12B-D797777B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5597839"/>
        <c:axId val="1145594095"/>
      </c:scatterChart>
      <c:valAx>
        <c:axId val="11455978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semana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594095"/>
        <c:crosses val="autoZero"/>
        <c:crossBetween val="midCat"/>
      </c:valAx>
      <c:valAx>
        <c:axId val="1145594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5978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562535</xdr:colOff>
      <xdr:row>8</xdr:row>
      <xdr:rowOff>78441</xdr:rowOff>
    </xdr:from>
    <xdr:to>
      <xdr:col>16</xdr:col>
      <xdr:colOff>211951</xdr:colOff>
      <xdr:row>49</xdr:row>
      <xdr:rowOff>62112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26A8B2-05D6-403F-B31E-9790BC523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%20(E&amp;C%20CONSTRUCCIONES)/COMPARTIDA%20E&amp;C/OPERATIVO%20-%20JESSICA%20ROJAS/2-%20CONTROL%20OBRAS/OBRAS%20PUBLICAS/EYC%20230%20UT.%20INFRA.%20EDU.%20BOLIVAR/GO-F-05%20Control%20y%20an&#225;lisis%20de%20costos%20-%20EYC%202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Documents/TRABAJO%20DE%20GRADO%201/INFORMES%20OBRA%20BOLIVAR/GO-F-05%20Control_an&#225;lisis_costos-EYC_2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ANALISIS"/>
      <sheetName val="DETALLE DE GASTO"/>
      <sheetName val="ACTAS"/>
      <sheetName val="CIERRE PRESUPUESTO "/>
      <sheetName val="PRESUPUESTO"/>
      <sheetName val="NOMINA"/>
      <sheetName val="GASTOS"/>
      <sheetName val="DETALLE DE GASTO (2)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F20">
            <v>1341517772</v>
          </cell>
        </row>
        <row r="41">
          <cell r="F41">
            <v>1342063219.7867084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ANALISIS"/>
      <sheetName val="DETALLE DE GASTO"/>
      <sheetName val="ACTAS"/>
      <sheetName val="CIERRE PRESUPUESTO "/>
      <sheetName val="PRESUPUESTO"/>
      <sheetName val="NOMINA"/>
      <sheetName val="GASTOS"/>
      <sheetName val="DETALLE DE GASTO (2)"/>
      <sheetName val="Blad1"/>
    </sheetNames>
    <sheetDataSet>
      <sheetData sheetId="0"/>
      <sheetData sheetId="1"/>
      <sheetData sheetId="2"/>
      <sheetData sheetId="3">
        <row r="3">
          <cell r="A3" t="str">
            <v>Sem 0</v>
          </cell>
          <cell r="B3">
            <v>44235</v>
          </cell>
          <cell r="C3">
            <v>44510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A4" t="str">
            <v>Sem 1</v>
          </cell>
          <cell r="B4">
            <v>44511</v>
          </cell>
          <cell r="C4">
            <v>44605</v>
          </cell>
          <cell r="D4">
            <v>243000</v>
          </cell>
          <cell r="E4">
            <v>0</v>
          </cell>
          <cell r="F4">
            <v>0</v>
          </cell>
          <cell r="G4">
            <v>2059900.3</v>
          </cell>
          <cell r="H4">
            <v>0</v>
          </cell>
          <cell r="I4">
            <v>0</v>
          </cell>
          <cell r="J4">
            <v>260000</v>
          </cell>
          <cell r="K4">
            <v>0</v>
          </cell>
          <cell r="L4">
            <v>0</v>
          </cell>
          <cell r="M4">
            <v>0</v>
          </cell>
          <cell r="N4">
            <v>2000000</v>
          </cell>
          <cell r="O4">
            <v>2015000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3991532</v>
          </cell>
          <cell r="X4">
            <v>0</v>
          </cell>
          <cell r="Y4">
            <v>0</v>
          </cell>
          <cell r="Z4">
            <v>29014089.670000002</v>
          </cell>
          <cell r="AB4">
            <v>29014089.670000002</v>
          </cell>
          <cell r="AC4">
            <v>3991532</v>
          </cell>
          <cell r="AD4">
            <v>4015000</v>
          </cell>
          <cell r="AE4">
            <v>2562900.2999999998</v>
          </cell>
        </row>
        <row r="5">
          <cell r="A5" t="str">
            <v>Sem 2</v>
          </cell>
          <cell r="B5">
            <v>44606</v>
          </cell>
          <cell r="C5">
            <v>44612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500000</v>
          </cell>
          <cell r="O5">
            <v>1660000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1594000</v>
          </cell>
          <cell r="AB5">
            <v>1594000</v>
          </cell>
          <cell r="AC5">
            <v>0</v>
          </cell>
          <cell r="AD5">
            <v>2160000</v>
          </cell>
          <cell r="AE5">
            <v>0</v>
          </cell>
        </row>
        <row r="6">
          <cell r="A6" t="str">
            <v>Sem 3</v>
          </cell>
          <cell r="B6">
            <v>44613</v>
          </cell>
          <cell r="C6">
            <v>44619</v>
          </cell>
          <cell r="D6">
            <v>226000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3441000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392700</v>
          </cell>
          <cell r="AB6">
            <v>392700</v>
          </cell>
          <cell r="AC6">
            <v>0</v>
          </cell>
          <cell r="AD6">
            <v>3441000</v>
          </cell>
          <cell r="AE6">
            <v>226000</v>
          </cell>
        </row>
        <row r="7">
          <cell r="A7" t="str">
            <v>Sem 4</v>
          </cell>
          <cell r="B7">
            <v>44620</v>
          </cell>
          <cell r="C7">
            <v>44626</v>
          </cell>
          <cell r="D7">
            <v>313100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65000</v>
          </cell>
          <cell r="K7">
            <v>20000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1570002.14</v>
          </cell>
          <cell r="AB7">
            <v>1570002.14</v>
          </cell>
          <cell r="AC7">
            <v>0</v>
          </cell>
          <cell r="AD7">
            <v>0</v>
          </cell>
          <cell r="AE7">
            <v>398100</v>
          </cell>
        </row>
        <row r="8">
          <cell r="A8" t="str">
            <v>Sem 5</v>
          </cell>
          <cell r="B8">
            <v>44627</v>
          </cell>
          <cell r="C8">
            <v>44633</v>
          </cell>
          <cell r="D8">
            <v>113000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65000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550000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0</v>
          </cell>
          <cell r="AC8">
            <v>0</v>
          </cell>
          <cell r="AD8">
            <v>550000</v>
          </cell>
          <cell r="AE8">
            <v>178000</v>
          </cell>
        </row>
        <row r="9">
          <cell r="A9" t="str">
            <v>Sem 6</v>
          </cell>
          <cell r="B9">
            <v>44634</v>
          </cell>
          <cell r="C9">
            <v>44640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</row>
        <row r="10">
          <cell r="A10" t="str">
            <v>Sem 7</v>
          </cell>
          <cell r="B10">
            <v>44641</v>
          </cell>
          <cell r="C10">
            <v>44647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35000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6601425.0599999996</v>
          </cell>
          <cell r="AB10">
            <v>6601425.0599999996</v>
          </cell>
          <cell r="AC10">
            <v>0</v>
          </cell>
          <cell r="AD10">
            <v>0</v>
          </cell>
          <cell r="AE10">
            <v>35000</v>
          </cell>
        </row>
        <row r="11">
          <cell r="A11" t="str">
            <v>Sem 8</v>
          </cell>
          <cell r="B11">
            <v>44648</v>
          </cell>
          <cell r="C11">
            <v>44654</v>
          </cell>
          <cell r="D11">
            <v>311700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500000</v>
          </cell>
          <cell r="O11">
            <v>3358002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0</v>
          </cell>
          <cell r="AC11">
            <v>0</v>
          </cell>
          <cell r="AD11">
            <v>3858002</v>
          </cell>
          <cell r="AE11">
            <v>311700</v>
          </cell>
        </row>
        <row r="12">
          <cell r="A12" t="str">
            <v>Sem 9</v>
          </cell>
          <cell r="B12">
            <v>44655</v>
          </cell>
          <cell r="C12">
            <v>44661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303050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10618423.629999999</v>
          </cell>
          <cell r="AB12">
            <v>10618423.629999999</v>
          </cell>
          <cell r="AC12">
            <v>0</v>
          </cell>
          <cell r="AD12">
            <v>303050</v>
          </cell>
          <cell r="AE12">
            <v>0</v>
          </cell>
        </row>
        <row r="13">
          <cell r="A13" t="str">
            <v>Sem 10</v>
          </cell>
          <cell r="B13">
            <v>44662</v>
          </cell>
          <cell r="C13">
            <v>44675</v>
          </cell>
          <cell r="D13">
            <v>389000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150000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19804763</v>
          </cell>
          <cell r="X13">
            <v>0</v>
          </cell>
          <cell r="Y13">
            <v>0</v>
          </cell>
          <cell r="Z13">
            <v>9670801.1400000006</v>
          </cell>
          <cell r="AB13">
            <v>9670801.1400000006</v>
          </cell>
          <cell r="AC13">
            <v>19804763</v>
          </cell>
          <cell r="AD13">
            <v>0</v>
          </cell>
          <cell r="AE13">
            <v>539000</v>
          </cell>
        </row>
        <row r="14">
          <cell r="A14" t="str">
            <v>Sem 11</v>
          </cell>
          <cell r="B14">
            <v>44676</v>
          </cell>
          <cell r="C14">
            <v>44682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4526048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2340003.8199999998</v>
          </cell>
          <cell r="AB14">
            <v>2340003.8199999998</v>
          </cell>
          <cell r="AC14">
            <v>0</v>
          </cell>
          <cell r="AD14">
            <v>4526048</v>
          </cell>
          <cell r="AE14">
            <v>0</v>
          </cell>
        </row>
        <row r="15">
          <cell r="A15" t="str">
            <v>Sem 12</v>
          </cell>
          <cell r="B15">
            <v>44683</v>
          </cell>
          <cell r="C15">
            <v>44689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230000</v>
          </cell>
          <cell r="K15">
            <v>280000</v>
          </cell>
          <cell r="L15">
            <v>0</v>
          </cell>
          <cell r="M15">
            <v>0</v>
          </cell>
          <cell r="N15">
            <v>0</v>
          </cell>
          <cell r="O15">
            <v>5946125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24372306.649999999</v>
          </cell>
          <cell r="AB15">
            <v>24372306.649999999</v>
          </cell>
          <cell r="AC15">
            <v>0</v>
          </cell>
          <cell r="AD15">
            <v>5946125</v>
          </cell>
          <cell r="AE15">
            <v>510000</v>
          </cell>
        </row>
        <row r="16">
          <cell r="A16" t="str">
            <v>Sem 13</v>
          </cell>
          <cell r="B16">
            <v>44690</v>
          </cell>
          <cell r="C16">
            <v>44696</v>
          </cell>
          <cell r="D16">
            <v>343600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84000</v>
          </cell>
          <cell r="M16">
            <v>0</v>
          </cell>
          <cell r="N16">
            <v>0</v>
          </cell>
          <cell r="O16">
            <v>1250000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11088269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C16">
            <v>11088269</v>
          </cell>
          <cell r="AD16">
            <v>1334000</v>
          </cell>
          <cell r="AE16">
            <v>343600</v>
          </cell>
        </row>
        <row r="17">
          <cell r="A17" t="str">
            <v>Sem 14</v>
          </cell>
          <cell r="B17">
            <v>44697</v>
          </cell>
          <cell r="C17">
            <v>44703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427500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2357110.54</v>
          </cell>
          <cell r="AB17">
            <v>2357110.54</v>
          </cell>
          <cell r="AC17">
            <v>0</v>
          </cell>
          <cell r="AD17">
            <v>427500</v>
          </cell>
          <cell r="AE17">
            <v>0</v>
          </cell>
        </row>
        <row r="18">
          <cell r="A18" t="str">
            <v>Sem 15</v>
          </cell>
          <cell r="B18">
            <v>44704</v>
          </cell>
          <cell r="C18">
            <v>44710</v>
          </cell>
          <cell r="D18">
            <v>271500</v>
          </cell>
          <cell r="E18">
            <v>0</v>
          </cell>
          <cell r="F18">
            <v>0</v>
          </cell>
          <cell r="G18">
            <v>0</v>
          </cell>
          <cell r="H18">
            <v>510000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300000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C18">
            <v>0</v>
          </cell>
          <cell r="AD18">
            <v>300000</v>
          </cell>
          <cell r="AE18">
            <v>781500</v>
          </cell>
        </row>
        <row r="19">
          <cell r="A19" t="str">
            <v>Sem 16</v>
          </cell>
          <cell r="B19">
            <v>44711</v>
          </cell>
          <cell r="C19">
            <v>44717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165000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220000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C19">
            <v>0</v>
          </cell>
          <cell r="AD19">
            <v>220000</v>
          </cell>
          <cell r="AE19">
            <v>165000</v>
          </cell>
        </row>
        <row r="20">
          <cell r="A20" t="str">
            <v>Sem 17</v>
          </cell>
          <cell r="B20">
            <v>44718</v>
          </cell>
          <cell r="C20">
            <v>44724</v>
          </cell>
          <cell r="D20">
            <v>318000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130000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448000</v>
          </cell>
        </row>
        <row r="21">
          <cell r="A21" t="str">
            <v>Sem 18</v>
          </cell>
          <cell r="B21">
            <v>44725</v>
          </cell>
          <cell r="C21">
            <v>44731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1806960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14391357</v>
          </cell>
          <cell r="X21">
            <v>0</v>
          </cell>
          <cell r="Y21">
            <v>0</v>
          </cell>
          <cell r="Z21">
            <v>150000</v>
          </cell>
          <cell r="AB21">
            <v>150000</v>
          </cell>
          <cell r="AC21">
            <v>14391357</v>
          </cell>
          <cell r="AD21">
            <v>1806960</v>
          </cell>
          <cell r="AE21">
            <v>0</v>
          </cell>
        </row>
        <row r="22">
          <cell r="A22" t="str">
            <v>Sem 19</v>
          </cell>
          <cell r="B22">
            <v>44732</v>
          </cell>
          <cell r="C22">
            <v>44738</v>
          </cell>
          <cell r="D22">
            <v>298000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2720004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1700000.1</v>
          </cell>
          <cell r="AB22">
            <v>1700000.1</v>
          </cell>
          <cell r="AC22">
            <v>0</v>
          </cell>
          <cell r="AD22">
            <v>2720004</v>
          </cell>
          <cell r="AE22">
            <v>298000</v>
          </cell>
        </row>
        <row r="23">
          <cell r="A23" t="str">
            <v>Sem 20</v>
          </cell>
          <cell r="B23">
            <v>44739</v>
          </cell>
          <cell r="C23">
            <v>44745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520000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1756955.67</v>
          </cell>
          <cell r="AB23">
            <v>1756955.67</v>
          </cell>
          <cell r="AC23">
            <v>0</v>
          </cell>
          <cell r="AD23">
            <v>0</v>
          </cell>
          <cell r="AE23">
            <v>520000</v>
          </cell>
        </row>
        <row r="24">
          <cell r="A24" t="str">
            <v>Sem 21</v>
          </cell>
          <cell r="B24">
            <v>44746</v>
          </cell>
          <cell r="C24">
            <v>44752</v>
          </cell>
          <cell r="D24">
            <v>212000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300000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45027463.359999999</v>
          </cell>
          <cell r="AB24">
            <v>45027463.359999999</v>
          </cell>
          <cell r="AC24">
            <v>0</v>
          </cell>
          <cell r="AD24">
            <v>300000</v>
          </cell>
          <cell r="AE24">
            <v>212000</v>
          </cell>
        </row>
        <row r="25">
          <cell r="A25" t="str">
            <v>Sem 22</v>
          </cell>
          <cell r="B25">
            <v>44753</v>
          </cell>
          <cell r="C25">
            <v>44759</v>
          </cell>
          <cell r="D25">
            <v>0</v>
          </cell>
          <cell r="E25">
            <v>334000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10298102.57</v>
          </cell>
          <cell r="AB25">
            <v>10298102.57</v>
          </cell>
          <cell r="AC25">
            <v>0</v>
          </cell>
          <cell r="AD25">
            <v>0</v>
          </cell>
          <cell r="AE25">
            <v>334000</v>
          </cell>
        </row>
        <row r="26">
          <cell r="A26" t="str">
            <v>Sem 23</v>
          </cell>
          <cell r="B26">
            <v>44760</v>
          </cell>
          <cell r="C26">
            <v>44766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15783377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C26">
            <v>15783377</v>
          </cell>
          <cell r="AD26">
            <v>0</v>
          </cell>
          <cell r="AE26">
            <v>0</v>
          </cell>
        </row>
        <row r="27">
          <cell r="A27" t="str">
            <v>Sem 24</v>
          </cell>
          <cell r="B27">
            <v>44767</v>
          </cell>
          <cell r="C27">
            <v>44773</v>
          </cell>
          <cell r="D27">
            <v>390500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5553000.4000000004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1250000.3999999999</v>
          </cell>
          <cell r="AB27">
            <v>1250000.3999999999</v>
          </cell>
          <cell r="AC27">
            <v>0</v>
          </cell>
          <cell r="AD27">
            <v>5553000.4000000004</v>
          </cell>
          <cell r="AE27">
            <v>390500</v>
          </cell>
        </row>
        <row r="28">
          <cell r="A28" t="str">
            <v>Sem 25</v>
          </cell>
          <cell r="B28">
            <v>44774</v>
          </cell>
          <cell r="C28">
            <v>44780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230000</v>
          </cell>
          <cell r="K28">
            <v>0</v>
          </cell>
          <cell r="L28">
            <v>1000000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2888706.9899999998</v>
          </cell>
          <cell r="AB28">
            <v>2888706.9899999998</v>
          </cell>
          <cell r="AC28">
            <v>0</v>
          </cell>
          <cell r="AD28">
            <v>1000000</v>
          </cell>
          <cell r="AE28">
            <v>230000</v>
          </cell>
        </row>
        <row r="29">
          <cell r="A29" t="str">
            <v>Sem 26</v>
          </cell>
          <cell r="B29">
            <v>44781</v>
          </cell>
          <cell r="C29">
            <v>44787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2000000</v>
          </cell>
          <cell r="N29">
            <v>0</v>
          </cell>
          <cell r="O29">
            <v>4250000.8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15433646</v>
          </cell>
          <cell r="X29">
            <v>0</v>
          </cell>
          <cell r="Y29">
            <v>0</v>
          </cell>
          <cell r="Z29">
            <v>38183236.959999993</v>
          </cell>
          <cell r="AB29">
            <v>38183236.959999993</v>
          </cell>
          <cell r="AC29">
            <v>15433646</v>
          </cell>
          <cell r="AD29">
            <v>6250000.7999999998</v>
          </cell>
          <cell r="AE29">
            <v>0</v>
          </cell>
        </row>
        <row r="30">
          <cell r="A30" t="str">
            <v>Sem 27</v>
          </cell>
          <cell r="B30">
            <v>44788</v>
          </cell>
          <cell r="C30">
            <v>44794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3000000</v>
          </cell>
          <cell r="N30">
            <v>0</v>
          </cell>
          <cell r="O30">
            <v>150000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15768030.699999999</v>
          </cell>
          <cell r="AB30">
            <v>15768030.699999999</v>
          </cell>
          <cell r="AC30">
            <v>0</v>
          </cell>
          <cell r="AD30">
            <v>3150000</v>
          </cell>
          <cell r="AE30">
            <v>0</v>
          </cell>
        </row>
        <row r="31">
          <cell r="A31" t="str">
            <v>Sem 28</v>
          </cell>
          <cell r="B31">
            <v>44795</v>
          </cell>
          <cell r="C31">
            <v>44801</v>
          </cell>
          <cell r="D31">
            <v>690900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195000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1868363.16</v>
          </cell>
          <cell r="AB31">
            <v>1868363.16</v>
          </cell>
          <cell r="AC31">
            <v>0</v>
          </cell>
          <cell r="AD31">
            <v>0</v>
          </cell>
          <cell r="AE31">
            <v>885900</v>
          </cell>
        </row>
        <row r="32">
          <cell r="A32" t="str">
            <v>Sem 29</v>
          </cell>
          <cell r="B32">
            <v>44802</v>
          </cell>
          <cell r="C32">
            <v>44808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171700</v>
          </cell>
          <cell r="I32">
            <v>0</v>
          </cell>
          <cell r="J32">
            <v>198000</v>
          </cell>
          <cell r="K32">
            <v>200000</v>
          </cell>
          <cell r="L32">
            <v>0</v>
          </cell>
          <cell r="M32">
            <v>0</v>
          </cell>
          <cell r="N32">
            <v>0</v>
          </cell>
          <cell r="O32">
            <v>4534004.3900000006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18513609.079999998</v>
          </cell>
          <cell r="AB32">
            <v>18513609.079999998</v>
          </cell>
          <cell r="AC32">
            <v>0</v>
          </cell>
          <cell r="AD32">
            <v>4534004.3900000006</v>
          </cell>
          <cell r="AE32">
            <v>569700</v>
          </cell>
        </row>
        <row r="33">
          <cell r="A33" t="str">
            <v>Sem 30</v>
          </cell>
          <cell r="B33">
            <v>44809</v>
          </cell>
          <cell r="C33">
            <v>44815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1101476</v>
          </cell>
          <cell r="M33">
            <v>0</v>
          </cell>
          <cell r="N33">
            <v>0</v>
          </cell>
          <cell r="O33">
            <v>1886250.02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8073753.0599999996</v>
          </cell>
          <cell r="AB33">
            <v>8073753.0599999996</v>
          </cell>
          <cell r="AC33">
            <v>0</v>
          </cell>
          <cell r="AD33">
            <v>2987726.02</v>
          </cell>
          <cell r="AE33">
            <v>0</v>
          </cell>
        </row>
        <row r="34">
          <cell r="A34" t="str">
            <v>Sem 31</v>
          </cell>
          <cell r="B34">
            <v>44816</v>
          </cell>
          <cell r="C34">
            <v>44822</v>
          </cell>
          <cell r="D34">
            <v>344000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656500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22129249</v>
          </cell>
          <cell r="X34">
            <v>0</v>
          </cell>
          <cell r="Y34">
            <v>0</v>
          </cell>
          <cell r="Z34">
            <v>4766800</v>
          </cell>
          <cell r="AB34">
            <v>4766800</v>
          </cell>
          <cell r="AC34">
            <v>22129249</v>
          </cell>
          <cell r="AD34">
            <v>656500</v>
          </cell>
          <cell r="AE34">
            <v>344000</v>
          </cell>
        </row>
        <row r="35">
          <cell r="A35" t="str">
            <v>Sem 32</v>
          </cell>
          <cell r="B35">
            <v>44823</v>
          </cell>
          <cell r="C35">
            <v>44829</v>
          </cell>
          <cell r="D35">
            <v>612599.98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130000</v>
          </cell>
          <cell r="J35">
            <v>136000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1604999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0</v>
          </cell>
          <cell r="AC35">
            <v>0</v>
          </cell>
          <cell r="AD35">
            <v>1604999</v>
          </cell>
          <cell r="AE35">
            <v>878599.98</v>
          </cell>
        </row>
        <row r="36">
          <cell r="A36" t="str">
            <v>Sem 33</v>
          </cell>
          <cell r="B36">
            <v>44830</v>
          </cell>
          <cell r="C36">
            <v>44836</v>
          </cell>
          <cell r="D36">
            <v>461100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8281293.46</v>
          </cell>
          <cell r="AB36">
            <v>8281293.46</v>
          </cell>
          <cell r="AC36">
            <v>0</v>
          </cell>
          <cell r="AD36">
            <v>0</v>
          </cell>
          <cell r="AE36">
            <v>461100</v>
          </cell>
        </row>
        <row r="37">
          <cell r="A37" t="str">
            <v>Sem 34</v>
          </cell>
          <cell r="B37">
            <v>44837</v>
          </cell>
          <cell r="C37">
            <v>44843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</row>
        <row r="38">
          <cell r="A38" t="str">
            <v>Sem 35</v>
          </cell>
          <cell r="B38">
            <v>44844</v>
          </cell>
          <cell r="C38">
            <v>44850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</row>
        <row r="39">
          <cell r="A39" t="str">
            <v>Sem 36</v>
          </cell>
          <cell r="B39">
            <v>44851</v>
          </cell>
          <cell r="C39">
            <v>44857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</row>
        <row r="40">
          <cell r="A40" t="str">
            <v>Sem 37</v>
          </cell>
          <cell r="B40">
            <v>44858</v>
          </cell>
          <cell r="C40">
            <v>44864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Sem 38</v>
          </cell>
          <cell r="B41">
            <v>44865</v>
          </cell>
          <cell r="C41">
            <v>44871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/>
          <cell r="B42"/>
          <cell r="C42"/>
          <cell r="D42">
            <v>5537999.9800000004</v>
          </cell>
          <cell r="E42">
            <v>334000</v>
          </cell>
          <cell r="F42">
            <v>0</v>
          </cell>
          <cell r="G42">
            <v>2059900.3</v>
          </cell>
          <cell r="H42">
            <v>1201700</v>
          </cell>
          <cell r="I42">
            <v>130000</v>
          </cell>
          <cell r="J42">
            <v>1859000</v>
          </cell>
          <cell r="K42">
            <v>500000</v>
          </cell>
          <cell r="L42">
            <v>8945984</v>
          </cell>
          <cell r="M42">
            <v>5000000</v>
          </cell>
          <cell r="N42">
            <v>3000000</v>
          </cell>
          <cell r="O42">
            <v>40697935.610000007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102622193</v>
          </cell>
          <cell r="X42">
            <v>0</v>
          </cell>
          <cell r="Y42">
            <v>0</v>
          </cell>
          <cell r="Z42">
            <v>247057178.16</v>
          </cell>
          <cell r="AB42">
            <v>247057178.16</v>
          </cell>
          <cell r="AC42">
            <v>102622193</v>
          </cell>
          <cell r="AD42">
            <v>57643919.609999999</v>
          </cell>
          <cell r="AE42">
            <v>11622600.280000001</v>
          </cell>
        </row>
        <row r="44">
          <cell r="Z44">
            <v>418945891.05000001</v>
          </cell>
          <cell r="AC44">
            <v>418945891.04999995</v>
          </cell>
        </row>
        <row r="45">
          <cell r="D45"/>
          <cell r="F45"/>
          <cell r="G45"/>
          <cell r="H45"/>
          <cell r="I45"/>
          <cell r="J45"/>
          <cell r="K45"/>
          <cell r="M45"/>
          <cell r="N45"/>
          <cell r="R45"/>
          <cell r="U45"/>
          <cell r="V45"/>
          <cell r="W45"/>
          <cell r="X45"/>
          <cell r="Y45"/>
          <cell r="Z45"/>
        </row>
        <row r="46">
          <cell r="E46"/>
          <cell r="Z46">
            <v>437581909.11000001</v>
          </cell>
        </row>
        <row r="47">
          <cell r="M47"/>
        </row>
        <row r="48">
          <cell r="M48"/>
          <cell r="Y48" t="str">
            <v>Dif. Fijos</v>
          </cell>
          <cell r="Z48">
            <v>18636018.060000002</v>
          </cell>
        </row>
        <row r="49">
          <cell r="M49"/>
        </row>
        <row r="50">
          <cell r="M50"/>
        </row>
        <row r="51">
          <cell r="M51"/>
        </row>
        <row r="52">
          <cell r="M52"/>
        </row>
        <row r="53">
          <cell r="M53"/>
        </row>
        <row r="54">
          <cell r="M54"/>
        </row>
        <row r="55">
          <cell r="M55"/>
        </row>
        <row r="56">
          <cell r="M56"/>
        </row>
        <row r="57">
          <cell r="M57"/>
        </row>
        <row r="58">
          <cell r="M58"/>
        </row>
        <row r="59">
          <cell r="M59"/>
        </row>
        <row r="60">
          <cell r="M60"/>
        </row>
        <row r="61">
          <cell r="M61"/>
        </row>
        <row r="62">
          <cell r="M62"/>
        </row>
        <row r="63">
          <cell r="M63"/>
        </row>
        <row r="64">
          <cell r="M64"/>
        </row>
        <row r="65">
          <cell r="M65"/>
        </row>
      </sheetData>
      <sheetData sheetId="4">
        <row r="20">
          <cell r="F20">
            <v>1591207328.9300001</v>
          </cell>
        </row>
        <row r="41">
          <cell r="F41">
            <v>1591854298.0077672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C949-4B4A-4A27-A21C-9F902E927C76}">
  <dimension ref="B2:BS59"/>
  <sheetViews>
    <sheetView showGridLines="0" tabSelected="1" zoomScale="50" zoomScaleNormal="50" workbookViewId="0">
      <selection activeCell="AV32" sqref="AV32"/>
    </sheetView>
  </sheetViews>
  <sheetFormatPr baseColWidth="10" defaultColWidth="11.44140625" defaultRowHeight="14.4" x14ac:dyDescent="0.3"/>
  <cols>
    <col min="1" max="1" width="3.44140625" customWidth="1"/>
    <col min="2" max="2" width="14.33203125" bestFit="1" customWidth="1"/>
    <col min="3" max="3" width="15.44140625" bestFit="1" customWidth="1"/>
    <col min="4" max="4" width="13.33203125" bestFit="1" customWidth="1"/>
    <col min="5" max="5" width="22.77734375" bestFit="1" customWidth="1"/>
    <col min="6" max="6" width="21.44140625" bestFit="1" customWidth="1"/>
    <col min="7" max="7" width="19.44140625" customWidth="1"/>
    <col min="8" max="8" width="17.6640625" customWidth="1"/>
    <col min="9" max="9" width="21.21875" bestFit="1" customWidth="1"/>
    <col min="10" max="10" width="13.88671875" customWidth="1"/>
    <col min="11" max="11" width="19.44140625" bestFit="1" customWidth="1"/>
    <col min="12" max="12" width="15.109375" bestFit="1" customWidth="1"/>
    <col min="13" max="13" width="16.88671875" customWidth="1"/>
    <col min="14" max="14" width="17.44140625" customWidth="1"/>
    <col min="15" max="15" width="18.6640625" customWidth="1"/>
    <col min="16" max="16" width="21.6640625" customWidth="1"/>
    <col min="17" max="17" width="19.6640625" customWidth="1"/>
    <col min="18" max="18" width="14.5546875" customWidth="1"/>
    <col min="19" max="19" width="15" customWidth="1"/>
    <col min="20" max="20" width="14.33203125" customWidth="1"/>
    <col min="21" max="21" width="15.33203125" customWidth="1"/>
    <col min="22" max="22" width="14.88671875" customWidth="1"/>
    <col min="23" max="24" width="14.5546875" bestFit="1" customWidth="1"/>
    <col min="25" max="28" width="15" bestFit="1" customWidth="1"/>
    <col min="29" max="29" width="14.5546875" bestFit="1" customWidth="1"/>
    <col min="30" max="30" width="15" bestFit="1" customWidth="1"/>
    <col min="31" max="31" width="14.5546875" bestFit="1" customWidth="1"/>
    <col min="32" max="35" width="15" bestFit="1" customWidth="1"/>
    <col min="36" max="38" width="14.5546875" bestFit="1" customWidth="1"/>
  </cols>
  <sheetData>
    <row r="2" spans="2:11" ht="24" customHeight="1" x14ac:dyDescent="0.3">
      <c r="B2" s="57" t="s">
        <v>0</v>
      </c>
      <c r="C2" s="57"/>
      <c r="D2" s="57"/>
      <c r="E2" s="1">
        <f>+'[1]CIERRE PRESUPUESTO '!F20</f>
        <v>1341517772</v>
      </c>
      <c r="H2" s="57" t="s">
        <v>0</v>
      </c>
      <c r="I2" s="57"/>
      <c r="J2" s="57"/>
      <c r="K2" s="54">
        <f>+'[2]CIERRE PRESUPUESTO '!F20</f>
        <v>1591207328.9300001</v>
      </c>
    </row>
    <row r="3" spans="2:11" ht="31.2" customHeight="1" x14ac:dyDescent="0.3">
      <c r="B3" s="57" t="s">
        <v>1</v>
      </c>
      <c r="C3" s="57"/>
      <c r="D3" s="57"/>
      <c r="E3" s="1">
        <f>+'[1]CIERRE PRESUPUESTO '!F41</f>
        <v>1342063219.7867084</v>
      </c>
      <c r="H3" s="75" t="s">
        <v>62</v>
      </c>
      <c r="I3" s="75"/>
      <c r="J3" s="75"/>
      <c r="K3" s="55">
        <f>+'[2]CIERRE PRESUPUESTO '!F41</f>
        <v>1591854298.0077672</v>
      </c>
    </row>
    <row r="5" spans="2:11" x14ac:dyDescent="0.3">
      <c r="B5" s="76" t="s">
        <v>2</v>
      </c>
      <c r="C5" s="77"/>
      <c r="D5" s="78"/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</row>
    <row r="6" spans="2:11" x14ac:dyDescent="0.3">
      <c r="B6" s="79" t="s">
        <v>8</v>
      </c>
      <c r="C6" s="80"/>
      <c r="D6" s="81"/>
      <c r="E6" s="29">
        <v>920457005.97232759</v>
      </c>
      <c r="F6" s="56">
        <f>MAX(F55:AL55)</f>
        <v>0.46618999999999999</v>
      </c>
      <c r="G6" s="3">
        <f>E6*F6</f>
        <v>429107851.61423939</v>
      </c>
      <c r="H6" s="4">
        <f>+$I$49</f>
        <v>397948951.79453319</v>
      </c>
      <c r="I6" s="4">
        <f>+G6-H6</f>
        <v>31158899.819706202</v>
      </c>
    </row>
    <row r="7" spans="2:11" ht="15" thickBot="1" x14ac:dyDescent="0.35">
      <c r="G7" s="5">
        <f>G6/E6</f>
        <v>0.46618999999999999</v>
      </c>
      <c r="H7" s="5">
        <f>H6/E6</f>
        <v>0.43233844624188461</v>
      </c>
    </row>
    <row r="8" spans="2:11" ht="15" thickBot="1" x14ac:dyDescent="0.35">
      <c r="B8" s="82" t="s">
        <v>9</v>
      </c>
      <c r="C8" s="83"/>
      <c r="D8" s="83"/>
      <c r="E8" s="83"/>
      <c r="F8" s="83"/>
      <c r="G8" s="84"/>
    </row>
    <row r="9" spans="2:11" x14ac:dyDescent="0.3">
      <c r="B9" s="85" t="s">
        <v>10</v>
      </c>
      <c r="C9" s="86"/>
      <c r="D9" s="87"/>
      <c r="E9" s="6">
        <f>K2-K3</f>
        <v>-646969.07776713371</v>
      </c>
      <c r="F9" s="7">
        <f>+E9/K2</f>
        <v>-4.0659005649639954E-4</v>
      </c>
      <c r="G9" s="88">
        <f>+F10-F9</f>
        <v>1.9581923268703682E-2</v>
      </c>
    </row>
    <row r="10" spans="2:11" ht="15" thickBot="1" x14ac:dyDescent="0.35">
      <c r="B10" s="90" t="s">
        <v>11</v>
      </c>
      <c r="C10" s="91"/>
      <c r="D10" s="92"/>
      <c r="E10" s="8">
        <f>E9+I6</f>
        <v>30511930.741939068</v>
      </c>
      <c r="F10" s="9">
        <f>+E10/K2</f>
        <v>1.9175333212207282E-2</v>
      </c>
      <c r="G10" s="89"/>
      <c r="H10" s="10"/>
      <c r="I10" s="10"/>
    </row>
    <row r="11" spans="2:11" ht="15" thickBot="1" x14ac:dyDescent="0.35"/>
    <row r="12" spans="2:11" ht="15" thickBot="1" x14ac:dyDescent="0.35">
      <c r="B12" s="64" t="s">
        <v>12</v>
      </c>
      <c r="C12" s="65"/>
      <c r="D12" s="11" t="s">
        <v>13</v>
      </c>
      <c r="E12" s="11" t="s">
        <v>14</v>
      </c>
      <c r="F12" s="11" t="s">
        <v>15</v>
      </c>
      <c r="G12" s="12" t="s">
        <v>16</v>
      </c>
      <c r="H12" s="13" t="s">
        <v>17</v>
      </c>
      <c r="I12" s="14" t="s">
        <v>18</v>
      </c>
      <c r="J12" s="15" t="s">
        <v>19</v>
      </c>
    </row>
    <row r="13" spans="2:11" x14ac:dyDescent="0.3">
      <c r="B13" s="16">
        <f>+VLOOKUP(D13,[2]ACTAS!A3:T42,2,FALSE)</f>
        <v>44235</v>
      </c>
      <c r="C13" s="17">
        <f>+VLOOKUP(D13,[2]ACTAS!A3:T42,3,FALSE)</f>
        <v>44510</v>
      </c>
      <c r="D13" s="18" t="s">
        <v>20</v>
      </c>
      <c r="E13" s="19">
        <f>+VLOOKUP(D13,[2]ACTAS!A3:AE34,28,FALSE)</f>
        <v>0</v>
      </c>
      <c r="F13" s="20">
        <f>+VLOOKUP(D13,[2]ACTAS!A3:AE34,29,FALSE)</f>
        <v>0</v>
      </c>
      <c r="G13" s="21">
        <f>+VLOOKUP(D13,[2]ACTAS!A3:AE34,30,FALSE)</f>
        <v>0</v>
      </c>
      <c r="H13" s="22">
        <f>+VLOOKUP(D13,[2]ACTAS!A3:AE34,31,FALSE)</f>
        <v>0</v>
      </c>
      <c r="I13" s="23">
        <f>SUM(E13:H13)</f>
        <v>0</v>
      </c>
      <c r="J13" s="24">
        <f t="shared" ref="J13:J46" si="0">I13/$E$6</f>
        <v>0</v>
      </c>
    </row>
    <row r="14" spans="2:11" x14ac:dyDescent="0.3">
      <c r="B14" s="25">
        <f>+VLOOKUP(D14,[2]ACTAS!A3:T43,2,FALSE)</f>
        <v>44511</v>
      </c>
      <c r="C14" s="26">
        <f>+VLOOKUP(D14,[2]ACTAS!A3:T43,3,FALSE)</f>
        <v>44605</v>
      </c>
      <c r="D14" s="27" t="s">
        <v>21</v>
      </c>
      <c r="E14" s="28">
        <f>+VLOOKUP(D14,[2]ACTAS!A4:AE42,28,FALSE)</f>
        <v>29014089.670000002</v>
      </c>
      <c r="F14" s="29">
        <f>+VLOOKUP(D14,[2]ACTAS!A4:AE42,29,FALSE)</f>
        <v>3991532</v>
      </c>
      <c r="G14" s="30">
        <f>+VLOOKUP(D14,[2]ACTAS!A4:AE42,30,FALSE)</f>
        <v>4015000</v>
      </c>
      <c r="H14" s="31">
        <f>+VLOOKUP(D14,[2]ACTAS!A4:AE42,31,FALSE)</f>
        <v>2562900.2999999998</v>
      </c>
      <c r="I14" s="32">
        <f t="shared" ref="I14:I46" si="1">SUM(E14:H14)</f>
        <v>39583521.969999999</v>
      </c>
      <c r="J14" s="33">
        <f t="shared" si="0"/>
        <v>4.3004205208026877E-2</v>
      </c>
    </row>
    <row r="15" spans="2:11" x14ac:dyDescent="0.3">
      <c r="B15" s="25">
        <f>+VLOOKUP(D15,[2]ACTAS!A3:T44,2,FALSE)</f>
        <v>44606</v>
      </c>
      <c r="C15" s="26">
        <f>+VLOOKUP(D15,[2]ACTAS!A3:T44,3,FALSE)</f>
        <v>44612</v>
      </c>
      <c r="D15" s="27" t="s">
        <v>22</v>
      </c>
      <c r="E15" s="28">
        <f>+VLOOKUP(D15,[2]ACTAS!A5:AE43,28,FALSE)</f>
        <v>1594000</v>
      </c>
      <c r="F15" s="29">
        <f>+VLOOKUP(D15,[2]ACTAS!A5:AE43,29,FALSE)</f>
        <v>0</v>
      </c>
      <c r="G15" s="30">
        <f>+VLOOKUP(D15,[2]ACTAS!A5:AE43,30,FALSE)</f>
        <v>2160000</v>
      </c>
      <c r="H15" s="31">
        <f>+VLOOKUP(D15,[2]ACTAS!A5:AE43,31,FALSE)</f>
        <v>0</v>
      </c>
      <c r="I15" s="32">
        <f t="shared" si="1"/>
        <v>3754000</v>
      </c>
      <c r="J15" s="33">
        <f t="shared" si="0"/>
        <v>4.0784088508669129E-3</v>
      </c>
    </row>
    <row r="16" spans="2:11" x14ac:dyDescent="0.3">
      <c r="B16" s="25">
        <f>+VLOOKUP(D16,[2]ACTAS!A3:T45,2,FALSE)</f>
        <v>44613</v>
      </c>
      <c r="C16" s="26">
        <f>+VLOOKUP(D16,[2]ACTAS!A3:T45,3,FALSE)</f>
        <v>44619</v>
      </c>
      <c r="D16" s="27" t="s">
        <v>23</v>
      </c>
      <c r="E16" s="28">
        <f>+VLOOKUP(D16,[2]ACTAS!A6:AE44,28,FALSE)</f>
        <v>392700</v>
      </c>
      <c r="F16" s="29">
        <f>+VLOOKUP(D16,[2]ACTAS!A6:AE44,29,FALSE)</f>
        <v>0</v>
      </c>
      <c r="G16" s="30">
        <f>+VLOOKUP(D16,[2]ACTAS!A6:AE44,30,FALSE)</f>
        <v>3441000</v>
      </c>
      <c r="H16" s="31">
        <f>+VLOOKUP(D16,[2]ACTAS!A6:AE44,31,FALSE)</f>
        <v>226000</v>
      </c>
      <c r="I16" s="32">
        <f t="shared" si="1"/>
        <v>4059700</v>
      </c>
      <c r="J16" s="33">
        <f t="shared" si="0"/>
        <v>4.4105264815834863E-3</v>
      </c>
    </row>
    <row r="17" spans="2:10" x14ac:dyDescent="0.3">
      <c r="B17" s="25">
        <f>+VLOOKUP(D17,[2]ACTAS!A3:T46,2,FALSE)</f>
        <v>44620</v>
      </c>
      <c r="C17" s="26">
        <f>+VLOOKUP(D17,[2]ACTAS!A3:T46,3,FALSE)</f>
        <v>44626</v>
      </c>
      <c r="D17" s="27" t="s">
        <v>24</v>
      </c>
      <c r="E17" s="28">
        <f>+VLOOKUP(D17,[2]ACTAS!A7:AE45,28,FALSE)</f>
        <v>1570002.14</v>
      </c>
      <c r="F17" s="29">
        <f>+VLOOKUP(D17,[2]ACTAS!A7:AE45,29,FALSE)</f>
        <v>0</v>
      </c>
      <c r="G17" s="30">
        <f>+VLOOKUP(D17,[2]ACTAS!A7:AE45,30,FALSE)</f>
        <v>0</v>
      </c>
      <c r="H17" s="31">
        <f>+VLOOKUP(D17,[2]ACTAS!A7:AE45,31,FALSE)</f>
        <v>398100</v>
      </c>
      <c r="I17" s="32">
        <f t="shared" si="1"/>
        <v>1968102.14</v>
      </c>
      <c r="J17" s="33">
        <f t="shared" si="0"/>
        <v>2.1381793253026403E-3</v>
      </c>
    </row>
    <row r="18" spans="2:10" x14ac:dyDescent="0.3">
      <c r="B18" s="25">
        <f>+VLOOKUP(D18,[2]ACTAS!A3:T47,2,FALSE)</f>
        <v>44627</v>
      </c>
      <c r="C18" s="26">
        <f>+VLOOKUP(D18,[2]ACTAS!A3:T47,3,FALSE)</f>
        <v>44633</v>
      </c>
      <c r="D18" s="27" t="s">
        <v>25</v>
      </c>
      <c r="E18" s="28">
        <f>+VLOOKUP(D18,[2]ACTAS!A8:AE46,28,FALSE)</f>
        <v>0</v>
      </c>
      <c r="F18" s="29">
        <f>+VLOOKUP(D18,[2]ACTAS!A8:AE46,29,FALSE)</f>
        <v>0</v>
      </c>
      <c r="G18" s="30">
        <f>+VLOOKUP(D18,[2]ACTAS!A8:AE46,30,FALSE)</f>
        <v>550000</v>
      </c>
      <c r="H18" s="31">
        <f>+VLOOKUP(D18,[2]ACTAS!A8:AE46,31,FALSE)</f>
        <v>178000</v>
      </c>
      <c r="I18" s="32">
        <f t="shared" si="1"/>
        <v>728000</v>
      </c>
      <c r="J18" s="33">
        <f t="shared" si="0"/>
        <v>7.9091146601787765E-4</v>
      </c>
    </row>
    <row r="19" spans="2:10" x14ac:dyDescent="0.3">
      <c r="B19" s="25">
        <f>+VLOOKUP(D19,[2]ACTAS!A3:T48,2,FALSE)</f>
        <v>44634</v>
      </c>
      <c r="C19" s="26">
        <f>+VLOOKUP(D19,[2]ACTAS!A3:T48,3,FALSE)</f>
        <v>44640</v>
      </c>
      <c r="D19" s="27" t="s">
        <v>26</v>
      </c>
      <c r="E19" s="28">
        <f>+VLOOKUP(D19,[2]ACTAS!A9:AE47,28,FALSE)</f>
        <v>0</v>
      </c>
      <c r="F19" s="29">
        <f>+VLOOKUP(D19,[2]ACTAS!A9:AE47,29,FALSE)</f>
        <v>0</v>
      </c>
      <c r="G19" s="30">
        <f>+VLOOKUP(D19,[2]ACTAS!A9:AE47,30,FALSE)</f>
        <v>0</v>
      </c>
      <c r="H19" s="31">
        <f>+VLOOKUP(D19,[2]ACTAS!A9:AE47,31,FALSE)</f>
        <v>0</v>
      </c>
      <c r="I19" s="32">
        <f t="shared" si="1"/>
        <v>0</v>
      </c>
      <c r="J19" s="33">
        <f t="shared" si="0"/>
        <v>0</v>
      </c>
    </row>
    <row r="20" spans="2:10" x14ac:dyDescent="0.3">
      <c r="B20" s="25">
        <f>+VLOOKUP(D20,[2]ACTAS!A4:T49,2,FALSE)</f>
        <v>44641</v>
      </c>
      <c r="C20" s="26">
        <f>+VLOOKUP(D20,[2]ACTAS!A4:T49,3,FALSE)</f>
        <v>44647</v>
      </c>
      <c r="D20" s="27" t="s">
        <v>27</v>
      </c>
      <c r="E20" s="28">
        <f>+VLOOKUP(D20,[2]ACTAS!A10:AE48,28,FALSE)</f>
        <v>6601425.0599999996</v>
      </c>
      <c r="F20" s="29">
        <f>+VLOOKUP(D20,[2]ACTAS!A10:AE48,29,FALSE)</f>
        <v>0</v>
      </c>
      <c r="G20" s="30">
        <f>+VLOOKUP(D20,[2]ACTAS!A10:AE48,30,FALSE)</f>
        <v>0</v>
      </c>
      <c r="H20" s="31">
        <f>+VLOOKUP(D20,[2]ACTAS!A10:AE48,31,FALSE)</f>
        <v>35000</v>
      </c>
      <c r="I20" s="32">
        <f t="shared" si="1"/>
        <v>6636425.0599999996</v>
      </c>
      <c r="J20" s="33">
        <f t="shared" si="0"/>
        <v>7.2099240018164579E-3</v>
      </c>
    </row>
    <row r="21" spans="2:10" x14ac:dyDescent="0.3">
      <c r="B21" s="25">
        <f>+VLOOKUP(D21,[2]ACTAS!A5:T50,2,FALSE)</f>
        <v>44648</v>
      </c>
      <c r="C21" s="26">
        <f>+VLOOKUP(D21,[2]ACTAS!A5:T50,3,FALSE)</f>
        <v>44654</v>
      </c>
      <c r="D21" s="27" t="s">
        <v>28</v>
      </c>
      <c r="E21" s="28">
        <f>+VLOOKUP(D21,[2]ACTAS!A11:AE49,28,FALSE)</f>
        <v>0</v>
      </c>
      <c r="F21" s="29">
        <f>+VLOOKUP(D21,[2]ACTAS!A11:AE49,29,FALSE)</f>
        <v>0</v>
      </c>
      <c r="G21" s="30">
        <f>+VLOOKUP(D21,[2]ACTAS!A11:AE49,30,FALSE)</f>
        <v>3858002</v>
      </c>
      <c r="H21" s="31">
        <f>+VLOOKUP(D21,[2]ACTAS!A11:AE49,31,FALSE)</f>
        <v>311700</v>
      </c>
      <c r="I21" s="32">
        <f t="shared" si="1"/>
        <v>4169702</v>
      </c>
      <c r="J21" s="33">
        <f t="shared" si="0"/>
        <v>4.5300345077990065E-3</v>
      </c>
    </row>
    <row r="22" spans="2:10" x14ac:dyDescent="0.3">
      <c r="B22" s="25">
        <f>+VLOOKUP(D22,[2]ACTAS!A6:T51,2,FALSE)</f>
        <v>44655</v>
      </c>
      <c r="C22" s="26">
        <f>+VLOOKUP(D22,[2]ACTAS!A6:T51,3,FALSE)</f>
        <v>44661</v>
      </c>
      <c r="D22" s="27" t="s">
        <v>29</v>
      </c>
      <c r="E22" s="28">
        <f>+VLOOKUP(D22,[2]ACTAS!A12:AE50,28,FALSE)</f>
        <v>10618423.629999999</v>
      </c>
      <c r="F22" s="29">
        <f>+VLOOKUP(D22,[2]ACTAS!A12:AE50,29,FALSE)</f>
        <v>0</v>
      </c>
      <c r="G22" s="30">
        <f>+VLOOKUP(D22,[2]ACTAS!A12:AE50,30,FALSE)</f>
        <v>303050</v>
      </c>
      <c r="H22" s="31">
        <f>+VLOOKUP(D22,[2]ACTAS!A12:AE50,31,FALSE)</f>
        <v>0</v>
      </c>
      <c r="I22" s="32">
        <f t="shared" si="1"/>
        <v>10921473.629999999</v>
      </c>
      <c r="J22" s="33">
        <f t="shared" si="0"/>
        <v>1.1865272966729247E-2</v>
      </c>
    </row>
    <row r="23" spans="2:10" x14ac:dyDescent="0.3">
      <c r="B23" s="25">
        <f>+VLOOKUP(D23,[2]ACTAS!A7:T52,2,FALSE)</f>
        <v>44662</v>
      </c>
      <c r="C23" s="26">
        <f>+VLOOKUP(D23,[2]ACTAS!A7:T52,3,FALSE)</f>
        <v>44675</v>
      </c>
      <c r="D23" s="27" t="s">
        <v>30</v>
      </c>
      <c r="E23" s="28">
        <f>+VLOOKUP(D23,[2]ACTAS!A13:AE51,28,FALSE)</f>
        <v>9670801.1400000006</v>
      </c>
      <c r="F23" s="29">
        <f>+VLOOKUP(D23,[2]ACTAS!A13:AE51,29,FALSE)</f>
        <v>19804763</v>
      </c>
      <c r="G23" s="30">
        <f>+VLOOKUP(D23,[2]ACTAS!A13:AE51,30,FALSE)</f>
        <v>0</v>
      </c>
      <c r="H23" s="31">
        <f>+VLOOKUP(D23,[2]ACTAS!A13:AE51,31,FALSE)</f>
        <v>539000</v>
      </c>
      <c r="I23" s="32">
        <f t="shared" si="1"/>
        <v>30014564.140000001</v>
      </c>
      <c r="J23" s="33">
        <f t="shared" si="0"/>
        <v>3.2608328194855797E-2</v>
      </c>
    </row>
    <row r="24" spans="2:10" x14ac:dyDescent="0.3">
      <c r="B24" s="25">
        <f>+VLOOKUP(D24,[2]ACTAS!A8:T53,2,FALSE)</f>
        <v>44676</v>
      </c>
      <c r="C24" s="26">
        <f>+VLOOKUP(D24,[2]ACTAS!A8:T53,3,FALSE)</f>
        <v>44682</v>
      </c>
      <c r="D24" s="27" t="s">
        <v>31</v>
      </c>
      <c r="E24" s="28">
        <f>+VLOOKUP(D24,[2]ACTAS!A14:AE52,28,FALSE)</f>
        <v>2340003.8199999998</v>
      </c>
      <c r="F24" s="29">
        <f>+VLOOKUP(D24,[2]ACTAS!A14:AE52,29,FALSE)</f>
        <v>0</v>
      </c>
      <c r="G24" s="30">
        <f>+VLOOKUP(D24,[2]ACTAS!A14:AE52,30,FALSE)</f>
        <v>4526048</v>
      </c>
      <c r="H24" s="31">
        <f>+VLOOKUP(D24,[2]ACTAS!A14:AE52,31,FALSE)</f>
        <v>0</v>
      </c>
      <c r="I24" s="32">
        <f t="shared" si="1"/>
        <v>6866051.8200000003</v>
      </c>
      <c r="J24" s="33">
        <f t="shared" si="0"/>
        <v>7.4593943828446668E-3</v>
      </c>
    </row>
    <row r="25" spans="2:10" x14ac:dyDescent="0.3">
      <c r="B25" s="25">
        <f>+VLOOKUP(D25,[2]ACTAS!A9:T54,2,FALSE)</f>
        <v>44683</v>
      </c>
      <c r="C25" s="26">
        <f>+VLOOKUP(D25,[2]ACTAS!A9:T54,3,FALSE)</f>
        <v>44689</v>
      </c>
      <c r="D25" s="27" t="s">
        <v>32</v>
      </c>
      <c r="E25" s="28">
        <f>+VLOOKUP(D25,[2]ACTAS!A15:AE53,28,FALSE)</f>
        <v>24372306.649999999</v>
      </c>
      <c r="F25" s="29">
        <f>+VLOOKUP(D25,[2]ACTAS!A15:AE53,29,FALSE)</f>
        <v>0</v>
      </c>
      <c r="G25" s="30">
        <f>+VLOOKUP(D25,[2]ACTAS!A15:AE53,30,FALSE)</f>
        <v>5946125</v>
      </c>
      <c r="H25" s="31">
        <f>+VLOOKUP(D25,[2]ACTAS!A15:AE53,31,FALSE)</f>
        <v>510000</v>
      </c>
      <c r="I25" s="32">
        <f t="shared" si="1"/>
        <v>30828431.649999999</v>
      </c>
      <c r="J25" s="33">
        <f t="shared" si="0"/>
        <v>3.3492527570512964E-2</v>
      </c>
    </row>
    <row r="26" spans="2:10" x14ac:dyDescent="0.3">
      <c r="B26" s="25">
        <f>+VLOOKUP(D26,[2]ACTAS!A10:T55,2,FALSE)</f>
        <v>44690</v>
      </c>
      <c r="C26" s="26">
        <f>+VLOOKUP(D26,[2]ACTAS!A10:T55,3,FALSE)</f>
        <v>44696</v>
      </c>
      <c r="D26" s="27" t="s">
        <v>33</v>
      </c>
      <c r="E26" s="28">
        <f>+VLOOKUP(D26,[2]ACTAS!A16:AE54,28,FALSE)</f>
        <v>0</v>
      </c>
      <c r="F26" s="29">
        <f>+VLOOKUP(D26,[2]ACTAS!A16:AE54,29,FALSE)</f>
        <v>11088269</v>
      </c>
      <c r="G26" s="30">
        <f>+VLOOKUP(D26,[2]ACTAS!A16:AE54,30,FALSE)</f>
        <v>1334000</v>
      </c>
      <c r="H26" s="31">
        <f>+VLOOKUP(D26,[2]ACTAS!A16:AE54,31,FALSE)</f>
        <v>343600</v>
      </c>
      <c r="I26" s="32">
        <f t="shared" si="1"/>
        <v>12765869</v>
      </c>
      <c r="J26" s="33">
        <f t="shared" si="0"/>
        <v>1.3869055172777717E-2</v>
      </c>
    </row>
    <row r="27" spans="2:10" x14ac:dyDescent="0.3">
      <c r="B27" s="25">
        <f>+VLOOKUP(D27,[2]ACTAS!A11:T56,2,FALSE)</f>
        <v>44697</v>
      </c>
      <c r="C27" s="26">
        <f>+VLOOKUP(D27,[2]ACTAS!A11:T56,3,FALSE)</f>
        <v>44703</v>
      </c>
      <c r="D27" s="27" t="s">
        <v>34</v>
      </c>
      <c r="E27" s="28">
        <f>+VLOOKUP(D27,[2]ACTAS!A17:AE55,28,FALSE)</f>
        <v>2357110.54</v>
      </c>
      <c r="F27" s="29">
        <f>+VLOOKUP(D27,[2]ACTAS!A17:AE55,29,FALSE)</f>
        <v>0</v>
      </c>
      <c r="G27" s="30">
        <f>+VLOOKUP(D27,[2]ACTAS!A17:AE55,30,FALSE)</f>
        <v>427500</v>
      </c>
      <c r="H27" s="31">
        <f>+VLOOKUP(D27,[2]ACTAS!A17:AE55,31,FALSE)</f>
        <v>0</v>
      </c>
      <c r="I27" s="32">
        <f>SUM(E27:H27)</f>
        <v>2784610.54</v>
      </c>
      <c r="J27" s="33">
        <f t="shared" si="0"/>
        <v>3.02524780835197E-3</v>
      </c>
    </row>
    <row r="28" spans="2:10" x14ac:dyDescent="0.3">
      <c r="B28" s="25">
        <f>+VLOOKUP(D28,[2]ACTAS!A12:T57,2,FALSE)</f>
        <v>44704</v>
      </c>
      <c r="C28" s="26">
        <f>+VLOOKUP(D28,[2]ACTAS!A12:T57,3,FALSE)</f>
        <v>44710</v>
      </c>
      <c r="D28" s="27" t="s">
        <v>35</v>
      </c>
      <c r="E28" s="28">
        <f>+VLOOKUP(D28,[2]ACTAS!A18:AE56,28,FALSE)</f>
        <v>0</v>
      </c>
      <c r="F28" s="29">
        <f>+VLOOKUP(D28,[2]ACTAS!A18:AE56,29,FALSE)</f>
        <v>0</v>
      </c>
      <c r="G28" s="30">
        <f>+VLOOKUP(D28,[2]ACTAS!A18:AE56,30,FALSE)</f>
        <v>300000</v>
      </c>
      <c r="H28" s="31">
        <f>+VLOOKUP(D28,[2]ACTAS!A18:AE56,31,FALSE)</f>
        <v>781500</v>
      </c>
      <c r="I28" s="32">
        <f t="shared" si="1"/>
        <v>1081500</v>
      </c>
      <c r="J28" s="33">
        <f t="shared" si="0"/>
        <v>1.1749598221130972E-3</v>
      </c>
    </row>
    <row r="29" spans="2:10" x14ac:dyDescent="0.3">
      <c r="B29" s="25">
        <f>+VLOOKUP(D29,[2]ACTAS!A13:T58,2,FALSE)</f>
        <v>44711</v>
      </c>
      <c r="C29" s="26">
        <f>+VLOOKUP(D29,[2]ACTAS!A13:T58,3,FALSE)</f>
        <v>44717</v>
      </c>
      <c r="D29" s="27" t="s">
        <v>36</v>
      </c>
      <c r="E29" s="28">
        <f>+VLOOKUP(D29,[2]ACTAS!A19:AE57,28,FALSE)</f>
        <v>0</v>
      </c>
      <c r="F29" s="29">
        <f>+VLOOKUP(D29,[2]ACTAS!A19:AE57,29,FALSE)</f>
        <v>0</v>
      </c>
      <c r="G29" s="30">
        <f>+VLOOKUP(D29,[2]ACTAS!A19:AE57,30,FALSE)</f>
        <v>220000</v>
      </c>
      <c r="H29" s="31">
        <f>+VLOOKUP(D29,[2]ACTAS!A19:AE57,31,FALSE)</f>
        <v>165000</v>
      </c>
      <c r="I29" s="32">
        <f t="shared" si="1"/>
        <v>385000</v>
      </c>
      <c r="J29" s="33">
        <f t="shared" si="0"/>
        <v>4.1827048683637763E-4</v>
      </c>
    </row>
    <row r="30" spans="2:10" x14ac:dyDescent="0.3">
      <c r="B30" s="25">
        <f>+VLOOKUP(D30,[2]ACTAS!A14:T59,2,FALSE)</f>
        <v>44718</v>
      </c>
      <c r="C30" s="26">
        <f>+VLOOKUP(D30,[2]ACTAS!A14:T59,3,FALSE)</f>
        <v>44724</v>
      </c>
      <c r="D30" s="27" t="s">
        <v>37</v>
      </c>
      <c r="E30" s="28">
        <f>+VLOOKUP(D30,[2]ACTAS!A20:AE58,28,FALSE)</f>
        <v>0</v>
      </c>
      <c r="F30" s="29">
        <f>+VLOOKUP(D30,[2]ACTAS!A20:AE58,29,FALSE)</f>
        <v>0</v>
      </c>
      <c r="G30" s="30">
        <f>+VLOOKUP(D30,[2]ACTAS!A20:AE58,30,FALSE)</f>
        <v>0</v>
      </c>
      <c r="H30" s="31">
        <f>+VLOOKUP(D30,[2]ACTAS!A20:AE58,31,FALSE)</f>
        <v>448000</v>
      </c>
      <c r="I30" s="32">
        <f t="shared" si="1"/>
        <v>448000</v>
      </c>
      <c r="J30" s="33">
        <f t="shared" si="0"/>
        <v>4.8671474831869397E-4</v>
      </c>
    </row>
    <row r="31" spans="2:10" x14ac:dyDescent="0.3">
      <c r="B31" s="25">
        <f>+VLOOKUP(D31,[2]ACTAS!A15:T60,2,FALSE)</f>
        <v>44725</v>
      </c>
      <c r="C31" s="26">
        <f>+VLOOKUP(D31,[2]ACTAS!A15:T60,3,FALSE)</f>
        <v>44731</v>
      </c>
      <c r="D31" s="27" t="s">
        <v>38</v>
      </c>
      <c r="E31" s="28">
        <f>+VLOOKUP(D31,[2]ACTAS!A21:AE59,28,FALSE)</f>
        <v>150000</v>
      </c>
      <c r="F31" s="29">
        <f>+VLOOKUP(D31,[2]ACTAS!A21:AE59,29,FALSE)</f>
        <v>14391357</v>
      </c>
      <c r="G31" s="30">
        <f>+VLOOKUP(D31,[2]ACTAS!A21:AE59,30,FALSE)</f>
        <v>1806960</v>
      </c>
      <c r="H31" s="31">
        <f>+VLOOKUP(D31,[2]ACTAS!A21:AE59,31,FALSE)</f>
        <v>0</v>
      </c>
      <c r="I31" s="32">
        <f t="shared" si="1"/>
        <v>16348317</v>
      </c>
      <c r="J31" s="33">
        <f t="shared" si="0"/>
        <v>1.7761087040377738E-2</v>
      </c>
    </row>
    <row r="32" spans="2:10" x14ac:dyDescent="0.3">
      <c r="B32" s="25">
        <f>+VLOOKUP(D32,[2]ACTAS!A16:T61,2,FALSE)</f>
        <v>44732</v>
      </c>
      <c r="C32" s="26">
        <f>+VLOOKUP(D32,[2]ACTAS!A16:T61,3,FALSE)</f>
        <v>44738</v>
      </c>
      <c r="D32" s="27" t="s">
        <v>39</v>
      </c>
      <c r="E32" s="28">
        <f>+VLOOKUP(D32,[2]ACTAS!A22:AE60,28,FALSE)</f>
        <v>1700000.1</v>
      </c>
      <c r="F32" s="29">
        <f>+VLOOKUP(D32,[2]ACTAS!A22:AE60,29,FALSE)</f>
        <v>0</v>
      </c>
      <c r="G32" s="30">
        <f>+VLOOKUP(D32,[2]ACTAS!A22:AE60,30,FALSE)</f>
        <v>2720004</v>
      </c>
      <c r="H32" s="31">
        <f>+VLOOKUP(D32,[2]ACTAS!A22:AE60,31,FALSE)</f>
        <v>298000</v>
      </c>
      <c r="I32" s="32">
        <f t="shared" si="1"/>
        <v>4718004.0999999996</v>
      </c>
      <c r="J32" s="33">
        <f t="shared" si="0"/>
        <v>5.1257191475403262E-3</v>
      </c>
    </row>
    <row r="33" spans="2:10" x14ac:dyDescent="0.3">
      <c r="B33" s="25">
        <f>+VLOOKUP(D33,[2]ACTAS!A17:T62,2,FALSE)</f>
        <v>44739</v>
      </c>
      <c r="C33" s="26">
        <f>+VLOOKUP(D33,[2]ACTAS!A17:T62,3,FALSE)</f>
        <v>44745</v>
      </c>
      <c r="D33" s="27" t="s">
        <v>40</v>
      </c>
      <c r="E33" s="28">
        <f>+VLOOKUP(D33,[2]ACTAS!A23:AE61,28,FALSE)</f>
        <v>1756955.67</v>
      </c>
      <c r="F33" s="29">
        <f>+VLOOKUP(D33,[2]ACTAS!A23:AE61,29,FALSE)</f>
        <v>0</v>
      </c>
      <c r="G33" s="30">
        <f>+VLOOKUP(D33,[2]ACTAS!A23:AE61,30,FALSE)</f>
        <v>0</v>
      </c>
      <c r="H33" s="31">
        <f>+VLOOKUP(D33,[2]ACTAS!A23:AE61,31,FALSE)</f>
        <v>520000</v>
      </c>
      <c r="I33" s="32">
        <f t="shared" si="1"/>
        <v>2276955.67</v>
      </c>
      <c r="J33" s="33">
        <f t="shared" si="0"/>
        <v>2.4737230041448062E-3</v>
      </c>
    </row>
    <row r="34" spans="2:10" x14ac:dyDescent="0.3">
      <c r="B34" s="25">
        <f>+VLOOKUP(D34,[2]ACTAS!A18:T63,2,FALSE)</f>
        <v>44746</v>
      </c>
      <c r="C34" s="26">
        <f>+VLOOKUP(D34,[2]ACTAS!A18:T63,3,FALSE)</f>
        <v>44752</v>
      </c>
      <c r="D34" s="27" t="s">
        <v>41</v>
      </c>
      <c r="E34" s="28">
        <f>+VLOOKUP(D34,[2]ACTAS!A24:AE62,28,FALSE)</f>
        <v>45027463.359999999</v>
      </c>
      <c r="F34" s="29">
        <f>+VLOOKUP(D34,[2]ACTAS!A24:AE62,29,FALSE)</f>
        <v>0</v>
      </c>
      <c r="G34" s="30">
        <f>+VLOOKUP(D34,[2]ACTAS!A24:AE62,30,FALSE)</f>
        <v>300000</v>
      </c>
      <c r="H34" s="31">
        <f>+VLOOKUP(D34,[2]ACTAS!A24:AE62,31,FALSE)</f>
        <v>212000</v>
      </c>
      <c r="I34" s="32">
        <f t="shared" si="1"/>
        <v>45539463.359999999</v>
      </c>
      <c r="J34" s="33">
        <f t="shared" si="0"/>
        <v>4.9474840285336573E-2</v>
      </c>
    </row>
    <row r="35" spans="2:10" x14ac:dyDescent="0.3">
      <c r="B35" s="25">
        <f>+VLOOKUP(D35,[2]ACTAS!A19:T64,2,FALSE)</f>
        <v>44753</v>
      </c>
      <c r="C35" s="26">
        <f>+VLOOKUP(D35,[2]ACTAS!A19:T64,3,FALSE)</f>
        <v>44759</v>
      </c>
      <c r="D35" s="27" t="s">
        <v>42</v>
      </c>
      <c r="E35" s="28">
        <f>+VLOOKUP(D35,[2]ACTAS!A25:AE63,28,FALSE)</f>
        <v>10298102.57</v>
      </c>
      <c r="F35" s="29">
        <f>+VLOOKUP(D35,[2]ACTAS!A25:AE63,29,FALSE)</f>
        <v>0</v>
      </c>
      <c r="G35" s="30">
        <f>+VLOOKUP(D35,[2]ACTAS!A25:AE63,30,FALSE)</f>
        <v>0</v>
      </c>
      <c r="H35" s="31">
        <f>+VLOOKUP(D35,[2]ACTAS!A25:AE63,31,FALSE)</f>
        <v>334000</v>
      </c>
      <c r="I35" s="32">
        <f t="shared" si="1"/>
        <v>10632102.57</v>
      </c>
      <c r="J35" s="33">
        <f t="shared" si="0"/>
        <v>1.1550895371553771E-2</v>
      </c>
    </row>
    <row r="36" spans="2:10" x14ac:dyDescent="0.3">
      <c r="B36" s="25">
        <f>+VLOOKUP(D36,[2]ACTAS!A20:T65,2,FALSE)</f>
        <v>44760</v>
      </c>
      <c r="C36" s="26">
        <f>+VLOOKUP(D36,[2]ACTAS!A20:T65,3,FALSE)</f>
        <v>44766</v>
      </c>
      <c r="D36" s="27" t="s">
        <v>43</v>
      </c>
      <c r="E36" s="28">
        <f>+VLOOKUP(D36,[2]ACTAS!A26:AE64,28,FALSE)</f>
        <v>0</v>
      </c>
      <c r="F36" s="29">
        <f>+VLOOKUP(D36,[2]ACTAS!A26:AE64,29,FALSE)</f>
        <v>15783377</v>
      </c>
      <c r="G36" s="30">
        <f>+VLOOKUP(D36,[2]ACTAS!A26:AE64,30,FALSE)</f>
        <v>0</v>
      </c>
      <c r="H36" s="31">
        <f>+VLOOKUP(D36,[2]ACTAS!A26:AE64,31,FALSE)</f>
        <v>0</v>
      </c>
      <c r="I36" s="32">
        <f t="shared" si="1"/>
        <v>15783377</v>
      </c>
      <c r="J36" s="33">
        <f t="shared" si="0"/>
        <v>1.7147326705745675E-2</v>
      </c>
    </row>
    <row r="37" spans="2:10" x14ac:dyDescent="0.3">
      <c r="B37" s="25">
        <f>+VLOOKUP(D37,[2]ACTAS!A21:T66,2,FALSE)</f>
        <v>44767</v>
      </c>
      <c r="C37" s="26">
        <f>+VLOOKUP(D37,[2]ACTAS!A21:T66,3,FALSE)</f>
        <v>44773</v>
      </c>
      <c r="D37" s="27" t="s">
        <v>44</v>
      </c>
      <c r="E37" s="28">
        <f>+VLOOKUP(D37,[2]ACTAS!A27:AE65,28,FALSE)</f>
        <v>1250000.3999999999</v>
      </c>
      <c r="F37" s="29">
        <f>+VLOOKUP(D37,[2]ACTAS!A27:AE65,29,FALSE)</f>
        <v>0</v>
      </c>
      <c r="G37" s="30">
        <f>+VLOOKUP(D37,[2]ACTAS!A27:AE65,30,FALSE)</f>
        <v>5553000.4000000004</v>
      </c>
      <c r="H37" s="31">
        <f>+VLOOKUP(D37,[2]ACTAS!A27:AE65,31,FALSE)</f>
        <v>390500</v>
      </c>
      <c r="I37" s="32">
        <f t="shared" si="1"/>
        <v>7193500.8000000007</v>
      </c>
      <c r="J37" s="33">
        <f t="shared" si="0"/>
        <v>7.8151404718801876E-3</v>
      </c>
    </row>
    <row r="38" spans="2:10" x14ac:dyDescent="0.3">
      <c r="B38" s="25">
        <f>+VLOOKUP(D38,[2]ACTAS!A22:T67,2,FALSE)</f>
        <v>44774</v>
      </c>
      <c r="C38" s="26">
        <f>+VLOOKUP(D38,[2]ACTAS!A22:T67,3,FALSE)</f>
        <v>44780</v>
      </c>
      <c r="D38" s="27" t="s">
        <v>45</v>
      </c>
      <c r="E38" s="28">
        <f>+VLOOKUP(D38,[2]ACTAS!A28:AE66,28,FALSE)</f>
        <v>2888706.9899999998</v>
      </c>
      <c r="F38" s="29">
        <f>+VLOOKUP(D38,[2]ACTAS!A28:AE66,29,FALSE)</f>
        <v>0</v>
      </c>
      <c r="G38" s="30">
        <f>+VLOOKUP(D38,[2]ACTAS!A28:AE66,30,FALSE)</f>
        <v>1000000</v>
      </c>
      <c r="H38" s="31">
        <f>+VLOOKUP(D38,[2]ACTAS!A28:AE66,31,FALSE)</f>
        <v>230000</v>
      </c>
      <c r="I38" s="32">
        <f t="shared" si="1"/>
        <v>4118706.9899999998</v>
      </c>
      <c r="J38" s="33">
        <f t="shared" si="0"/>
        <v>4.4746326697238737E-3</v>
      </c>
    </row>
    <row r="39" spans="2:10" x14ac:dyDescent="0.3">
      <c r="B39" s="25">
        <f>+VLOOKUP(D39,[2]ACTAS!A23:T68,2,FALSE)</f>
        <v>44781</v>
      </c>
      <c r="C39" s="26">
        <f>+VLOOKUP(D39,[2]ACTAS!A23:T68,3,FALSE)</f>
        <v>44787</v>
      </c>
      <c r="D39" s="27" t="s">
        <v>46</v>
      </c>
      <c r="E39" s="28">
        <f>+VLOOKUP(D39,[2]ACTAS!A29:AE67,28,FALSE)</f>
        <v>38183236.959999993</v>
      </c>
      <c r="F39" s="29">
        <f>+VLOOKUP(D39,[2]ACTAS!A29:AE67,29,FALSE)</f>
        <v>15433646</v>
      </c>
      <c r="G39" s="30">
        <f>+VLOOKUP(D39,[2]ACTAS!A29:AE67,30,FALSE)</f>
        <v>6250000.7999999998</v>
      </c>
      <c r="H39" s="31">
        <f>+VLOOKUP(D39,[2]ACTAS!A29:AE67,31,FALSE)</f>
        <v>0</v>
      </c>
      <c r="I39" s="32">
        <f t="shared" si="1"/>
        <v>59866883.75999999</v>
      </c>
      <c r="J39" s="33">
        <f t="shared" si="0"/>
        <v>6.5040391209537723E-2</v>
      </c>
    </row>
    <row r="40" spans="2:10" x14ac:dyDescent="0.3">
      <c r="B40" s="25">
        <f>+VLOOKUP(D40,[2]ACTAS!A24:T69,2,FALSE)</f>
        <v>44788</v>
      </c>
      <c r="C40" s="26">
        <f>+VLOOKUP(D40,[2]ACTAS!A24:T69,3,FALSE)</f>
        <v>44794</v>
      </c>
      <c r="D40" s="27" t="s">
        <v>47</v>
      </c>
      <c r="E40" s="28">
        <f>+VLOOKUP(D40,[2]ACTAS!A30:AE68,28,FALSE)</f>
        <v>15768030.699999999</v>
      </c>
      <c r="F40" s="29">
        <f>+VLOOKUP(D40,[2]ACTAS!A30:AE68,29,FALSE)</f>
        <v>0</v>
      </c>
      <c r="G40" s="30">
        <f>+VLOOKUP(D40,[2]ACTAS!A30:AE68,30,FALSE)</f>
        <v>3150000</v>
      </c>
      <c r="H40" s="31">
        <f>+VLOOKUP(D40,[2]ACTAS!A30:AE68,31,FALSE)</f>
        <v>0</v>
      </c>
      <c r="I40" s="32">
        <f t="shared" si="1"/>
        <v>18918030.699999999</v>
      </c>
      <c r="J40" s="33">
        <f t="shared" si="0"/>
        <v>2.0552867300972825E-2</v>
      </c>
    </row>
    <row r="41" spans="2:10" x14ac:dyDescent="0.3">
      <c r="B41" s="25">
        <f>+VLOOKUP(D41,[2]ACTAS!A25:T70,2,FALSE)</f>
        <v>44795</v>
      </c>
      <c r="C41" s="26">
        <f>+VLOOKUP(D41,[2]ACTAS!A25:T70,3,FALSE)</f>
        <v>44801</v>
      </c>
      <c r="D41" s="27" t="s">
        <v>48</v>
      </c>
      <c r="E41" s="28">
        <f>+VLOOKUP(D41,[2]ACTAS!A31:AE69,28,FALSE)</f>
        <v>1868363.16</v>
      </c>
      <c r="F41" s="29">
        <f>+VLOOKUP(D41,[2]ACTAS!A31:AE69,29,FALSE)</f>
        <v>0</v>
      </c>
      <c r="G41" s="30">
        <f>+VLOOKUP(D41,[2]ACTAS!A31:AE69,30,FALSE)</f>
        <v>0</v>
      </c>
      <c r="H41" s="31">
        <f>+VLOOKUP(D41,[2]ACTAS!A31:AE69,31,FALSE)</f>
        <v>885900</v>
      </c>
      <c r="I41" s="32">
        <f t="shared" si="1"/>
        <v>2754263.16</v>
      </c>
      <c r="J41" s="33">
        <f t="shared" si="0"/>
        <v>2.9922779033992207E-3</v>
      </c>
    </row>
    <row r="42" spans="2:10" x14ac:dyDescent="0.3">
      <c r="B42" s="25">
        <f>+VLOOKUP(D42,[2]ACTAS!A26:T71,2,FALSE)</f>
        <v>44802</v>
      </c>
      <c r="C42" s="26">
        <f>+VLOOKUP(D42,[2]ACTAS!A26:T71,3,FALSE)</f>
        <v>44808</v>
      </c>
      <c r="D42" s="27" t="s">
        <v>49</v>
      </c>
      <c r="E42" s="28">
        <f>+VLOOKUP(D42,[2]ACTAS!A32:AE70,28,FALSE)</f>
        <v>18513609.079999998</v>
      </c>
      <c r="F42" s="29">
        <f>+VLOOKUP(D42,[2]ACTAS!A32:AE70,29,FALSE)</f>
        <v>0</v>
      </c>
      <c r="G42" s="30">
        <f>+VLOOKUP(D42,[2]ACTAS!A32:AE70,30,FALSE)</f>
        <v>4534004.3900000006</v>
      </c>
      <c r="H42" s="31">
        <f>+VLOOKUP(D42,[2]ACTAS!A32:AE70,31,FALSE)</f>
        <v>569700</v>
      </c>
      <c r="I42" s="32">
        <f t="shared" si="1"/>
        <v>23617313.469999999</v>
      </c>
      <c r="J42" s="33">
        <f t="shared" si="0"/>
        <v>2.5658247280166854E-2</v>
      </c>
    </row>
    <row r="43" spans="2:10" x14ac:dyDescent="0.3">
      <c r="B43" s="25">
        <f>+VLOOKUP(D43,[2]ACTAS!A27:T72,2,FALSE)</f>
        <v>44809</v>
      </c>
      <c r="C43" s="26">
        <f>+VLOOKUP(D43,[2]ACTAS!A27:T72,3,FALSE)</f>
        <v>44815</v>
      </c>
      <c r="D43" s="27" t="s">
        <v>50</v>
      </c>
      <c r="E43" s="28">
        <f>+VLOOKUP(D43,[2]ACTAS!A33:AE71,28,FALSE)</f>
        <v>8073753.0599999996</v>
      </c>
      <c r="F43" s="29">
        <f>+VLOOKUP(D43,[2]ACTAS!A33:AE71,29,FALSE)</f>
        <v>0</v>
      </c>
      <c r="G43" s="30">
        <f>+VLOOKUP(D43,[2]ACTAS!A33:AE71,30,FALSE)</f>
        <v>2987726.02</v>
      </c>
      <c r="H43" s="31">
        <f>+VLOOKUP(D43,[2]ACTAS!A33:AE71,31,FALSE)</f>
        <v>0</v>
      </c>
      <c r="I43" s="32">
        <f t="shared" si="1"/>
        <v>11061479.08</v>
      </c>
      <c r="J43" s="33">
        <f t="shared" si="0"/>
        <v>1.2017377246550666E-2</v>
      </c>
    </row>
    <row r="44" spans="2:10" x14ac:dyDescent="0.3">
      <c r="B44" s="25">
        <f>+VLOOKUP(D44,[2]ACTAS!A28:T73,2,FALSE)</f>
        <v>44816</v>
      </c>
      <c r="C44" s="26">
        <f>+VLOOKUP(D44,[2]ACTAS!A28:T73,3,FALSE)</f>
        <v>44822</v>
      </c>
      <c r="D44" s="27" t="s">
        <v>51</v>
      </c>
      <c r="E44" s="28">
        <f>+VLOOKUP(D44,[2]ACTAS!A34:AE72,28,FALSE)</f>
        <v>4766800</v>
      </c>
      <c r="F44" s="29">
        <f>+VLOOKUP(D44,[2]ACTAS!A34:AE72,29,FALSE)</f>
        <v>22129249</v>
      </c>
      <c r="G44" s="30">
        <f>+VLOOKUP(D44,[2]ACTAS!A34:AE72,30,FALSE)</f>
        <v>656500</v>
      </c>
      <c r="H44" s="31">
        <f>+VLOOKUP(D44,[2]ACTAS!A34:AE72,31,FALSE)</f>
        <v>344000</v>
      </c>
      <c r="I44" s="32">
        <f t="shared" si="1"/>
        <v>27896549</v>
      </c>
      <c r="J44" s="33">
        <f t="shared" si="0"/>
        <v>3.0307280860480165E-2</v>
      </c>
    </row>
    <row r="45" spans="2:10" x14ac:dyDescent="0.3">
      <c r="B45" s="25">
        <f>+VLOOKUP(D45,[2]ACTAS!A29:T74,2,FALSE)</f>
        <v>44823</v>
      </c>
      <c r="C45" s="26">
        <f>+VLOOKUP(D45,[2]ACTAS!A29:T74,3,FALSE)</f>
        <v>44829</v>
      </c>
      <c r="D45" s="27" t="s">
        <v>52</v>
      </c>
      <c r="E45" s="28">
        <f>+VLOOKUP(D45,[2]ACTAS!A35:AE73,28,FALSE)</f>
        <v>0</v>
      </c>
      <c r="F45" s="29">
        <f>+VLOOKUP(D45,[2]ACTAS!A35:AE73,29,FALSE)</f>
        <v>0</v>
      </c>
      <c r="G45" s="30">
        <f>+VLOOKUP(D45,[2]ACTAS!A35:AE73,30,FALSE)</f>
        <v>1604999</v>
      </c>
      <c r="H45" s="31">
        <f>+VLOOKUP(D45,[2]ACTAS!A35:AE73,31,FALSE)</f>
        <v>878599.98</v>
      </c>
      <c r="I45" s="32">
        <f t="shared" si="1"/>
        <v>2483598.98</v>
      </c>
      <c r="J45" s="33">
        <f t="shared" si="0"/>
        <v>2.6982237778465736E-3</v>
      </c>
    </row>
    <row r="46" spans="2:10" x14ac:dyDescent="0.3">
      <c r="B46" s="25">
        <f>+VLOOKUP(D46,[2]ACTAS!A30:T75,2,FALSE)</f>
        <v>44830</v>
      </c>
      <c r="C46" s="26">
        <f>+VLOOKUP(D46,[2]ACTAS!A30:T75,3,FALSE)</f>
        <v>44836</v>
      </c>
      <c r="D46" s="27" t="s">
        <v>53</v>
      </c>
      <c r="E46" s="28">
        <f>+VLOOKUP(D46,[2]ACTAS!A36:AE74,28,FALSE)</f>
        <v>8281293.46</v>
      </c>
      <c r="F46" s="29">
        <f>+VLOOKUP(D46,[2]ACTAS!A36:AE74,29,FALSE)</f>
        <v>0</v>
      </c>
      <c r="G46" s="30">
        <f>+VLOOKUP(D46,[2]ACTAS!A36:AE74,30,FALSE)</f>
        <v>0</v>
      </c>
      <c r="H46" s="31">
        <f>+VLOOKUP(D46,[2]ACTAS!A36:AE74,31,FALSE)</f>
        <v>461100</v>
      </c>
      <c r="I46" s="32">
        <f t="shared" si="1"/>
        <v>8742393.4600000009</v>
      </c>
      <c r="J46" s="33">
        <f t="shared" si="0"/>
        <v>9.4978835548814658E-3</v>
      </c>
    </row>
    <row r="47" spans="2:10" ht="15" customHeight="1" thickBot="1" x14ac:dyDescent="0.35">
      <c r="B47" s="66" t="s">
        <v>54</v>
      </c>
      <c r="C47" s="67"/>
      <c r="D47" s="68"/>
      <c r="E47" s="34">
        <f>SUM(E13:E46)</f>
        <v>247057178.16</v>
      </c>
      <c r="F47" s="34">
        <f>SUM(F13:F46)</f>
        <v>102622193</v>
      </c>
      <c r="G47" s="34">
        <f>SUM(G13:G46)</f>
        <v>57643919.609999999</v>
      </c>
      <c r="H47" s="34">
        <f>SUM(H13:H46)</f>
        <v>11622600.280000001</v>
      </c>
      <c r="I47" s="34">
        <f>SUM(I13:I46)</f>
        <v>418945891.04999995</v>
      </c>
      <c r="J47" s="35">
        <f>SUM(J13:J45)</f>
        <v>0.44565199127001087</v>
      </c>
    </row>
    <row r="48" spans="2:10" ht="15" customHeight="1" thickBot="1" x14ac:dyDescent="0.35">
      <c r="B48" s="69" t="s">
        <v>55</v>
      </c>
      <c r="C48" s="70"/>
      <c r="D48" s="71"/>
      <c r="E48" s="36">
        <v>14792679</v>
      </c>
      <c r="F48" s="36"/>
      <c r="G48" s="37">
        <v>0</v>
      </c>
      <c r="H48" s="38">
        <f>+H47*(100%-F6)</f>
        <v>6204260.2554668011</v>
      </c>
      <c r="I48" s="39">
        <f>SUM(E48:H48)</f>
        <v>20996939.2554668</v>
      </c>
      <c r="J48" s="40">
        <f>+I48/E6</f>
        <v>2.2811428583007654E-2</v>
      </c>
    </row>
    <row r="49" spans="2:71" ht="15" customHeight="1" thickBot="1" x14ac:dyDescent="0.35">
      <c r="B49" s="72"/>
      <c r="C49" s="73"/>
      <c r="D49" s="74"/>
      <c r="E49" s="41">
        <f>E47-E48</f>
        <v>232264499.16</v>
      </c>
      <c r="F49" s="41">
        <f>F47-F48</f>
        <v>102622193</v>
      </c>
      <c r="G49" s="41">
        <f>G47-G48</f>
        <v>57643919.609999999</v>
      </c>
      <c r="H49" s="42">
        <f>+H47-H48</f>
        <v>5418340.0245332001</v>
      </c>
      <c r="I49" s="43">
        <f>SUM(E49:H49)</f>
        <v>397948951.79453319</v>
      </c>
      <c r="J49" s="44">
        <f>+I49/E6</f>
        <v>0.43233844624188461</v>
      </c>
    </row>
    <row r="50" spans="2:71" x14ac:dyDescent="0.3">
      <c r="I50" s="45"/>
    </row>
    <row r="51" spans="2:71" ht="15" thickBot="1" x14ac:dyDescent="0.35"/>
    <row r="52" spans="2:71" ht="15" thickBot="1" x14ac:dyDescent="0.35">
      <c r="B52" s="95" t="s">
        <v>56</v>
      </c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7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</row>
    <row r="53" spans="2:71" x14ac:dyDescent="0.3">
      <c r="B53" s="58" t="s">
        <v>57</v>
      </c>
      <c r="C53" s="59"/>
      <c r="D53" s="59"/>
      <c r="E53" s="46" t="s">
        <v>20</v>
      </c>
      <c r="F53" s="46" t="s">
        <v>21</v>
      </c>
      <c r="G53" s="46" t="s">
        <v>22</v>
      </c>
      <c r="H53" s="46" t="s">
        <v>23</v>
      </c>
      <c r="I53" s="46" t="s">
        <v>24</v>
      </c>
      <c r="J53" s="46" t="s">
        <v>25</v>
      </c>
      <c r="K53" s="46" t="s">
        <v>26</v>
      </c>
      <c r="L53" s="46" t="s">
        <v>27</v>
      </c>
      <c r="M53" s="46" t="s">
        <v>28</v>
      </c>
      <c r="N53" s="46" t="s">
        <v>29</v>
      </c>
      <c r="O53" s="46" t="s">
        <v>30</v>
      </c>
      <c r="P53" s="46" t="s">
        <v>31</v>
      </c>
      <c r="Q53" s="46" t="s">
        <v>32</v>
      </c>
      <c r="R53" s="46" t="s">
        <v>33</v>
      </c>
      <c r="S53" s="46" t="s">
        <v>34</v>
      </c>
      <c r="T53" s="46" t="s">
        <v>35</v>
      </c>
      <c r="U53" s="46" t="s">
        <v>36</v>
      </c>
      <c r="V53" s="46" t="s">
        <v>37</v>
      </c>
      <c r="W53" s="46" t="s">
        <v>38</v>
      </c>
      <c r="X53" s="46" t="s">
        <v>39</v>
      </c>
      <c r="Y53" s="46" t="s">
        <v>40</v>
      </c>
      <c r="Z53" s="47" t="s">
        <v>41</v>
      </c>
      <c r="AA53" s="47" t="s">
        <v>42</v>
      </c>
      <c r="AB53" s="47" t="s">
        <v>43</v>
      </c>
      <c r="AC53" s="47" t="s">
        <v>44</v>
      </c>
      <c r="AD53" s="47" t="s">
        <v>45</v>
      </c>
      <c r="AE53" s="47" t="s">
        <v>46</v>
      </c>
      <c r="AF53" s="47" t="s">
        <v>47</v>
      </c>
      <c r="AG53" s="47" t="s">
        <v>48</v>
      </c>
      <c r="AH53" s="47" t="s">
        <v>49</v>
      </c>
      <c r="AI53" s="47" t="s">
        <v>50</v>
      </c>
      <c r="AJ53" s="47" t="s">
        <v>51</v>
      </c>
      <c r="AK53" s="47" t="s">
        <v>52</v>
      </c>
      <c r="AL53" s="47" t="s">
        <v>53</v>
      </c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</row>
    <row r="54" spans="2:71" x14ac:dyDescent="0.3">
      <c r="B54" s="60" t="s">
        <v>58</v>
      </c>
      <c r="C54" s="61"/>
      <c r="D54" s="61"/>
      <c r="E54" s="48">
        <v>0</v>
      </c>
      <c r="F54" s="48">
        <v>1</v>
      </c>
      <c r="G54" s="48">
        <v>2</v>
      </c>
      <c r="H54" s="48">
        <v>3</v>
      </c>
      <c r="I54" s="49">
        <v>4</v>
      </c>
      <c r="J54" s="49">
        <v>5</v>
      </c>
      <c r="K54" s="49">
        <v>6</v>
      </c>
      <c r="L54" s="49">
        <v>7</v>
      </c>
      <c r="M54" s="49">
        <v>8</v>
      </c>
      <c r="N54" s="49">
        <v>9</v>
      </c>
      <c r="O54" s="49">
        <v>10</v>
      </c>
      <c r="P54" s="49">
        <v>11</v>
      </c>
      <c r="Q54" s="49">
        <v>12</v>
      </c>
      <c r="R54" s="49">
        <v>13</v>
      </c>
      <c r="S54" s="49">
        <v>14</v>
      </c>
      <c r="T54" s="49">
        <v>15</v>
      </c>
      <c r="U54" s="49">
        <v>16</v>
      </c>
      <c r="V54" s="49">
        <v>17</v>
      </c>
      <c r="W54" s="49">
        <v>18</v>
      </c>
      <c r="X54" s="49">
        <v>19</v>
      </c>
      <c r="Y54" s="49">
        <v>20</v>
      </c>
      <c r="Z54" s="50">
        <v>21</v>
      </c>
      <c r="AA54" s="50">
        <v>22</v>
      </c>
      <c r="AB54" s="50">
        <v>23</v>
      </c>
      <c r="AC54" s="50">
        <v>24</v>
      </c>
      <c r="AD54" s="50">
        <v>25</v>
      </c>
      <c r="AE54" s="50">
        <v>26</v>
      </c>
      <c r="AF54" s="50">
        <v>27</v>
      </c>
      <c r="AG54" s="50">
        <v>28</v>
      </c>
      <c r="AH54" s="50">
        <v>29</v>
      </c>
      <c r="AI54" s="50">
        <v>30</v>
      </c>
      <c r="AJ54" s="50">
        <v>31</v>
      </c>
      <c r="AK54" s="50">
        <v>32</v>
      </c>
      <c r="AL54" s="50">
        <v>33</v>
      </c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</row>
    <row r="55" spans="2:71" x14ac:dyDescent="0.3">
      <c r="B55" s="60" t="s">
        <v>59</v>
      </c>
      <c r="C55" s="61"/>
      <c r="D55" s="61"/>
      <c r="E55" s="51">
        <v>0</v>
      </c>
      <c r="F55" s="51">
        <v>1.41E-2</v>
      </c>
      <c r="G55" s="51">
        <v>1.7299999999999999E-2</v>
      </c>
      <c r="H55" s="51">
        <v>3.6999999999999998E-2</v>
      </c>
      <c r="I55" s="51">
        <v>4.6789999999999998E-2</v>
      </c>
      <c r="J55" s="51">
        <v>5.9700000000000003E-2</v>
      </c>
      <c r="K55" s="51">
        <v>6.9000000000000006E-2</v>
      </c>
      <c r="L55" s="51">
        <v>9.1999999999999998E-2</v>
      </c>
      <c r="M55" s="51">
        <v>9.8199999999999996E-2</v>
      </c>
      <c r="N55" s="51">
        <v>0.10203</v>
      </c>
      <c r="O55" s="51">
        <v>0.10703</v>
      </c>
      <c r="P55" s="51">
        <v>0.11068</v>
      </c>
      <c r="Q55" s="51">
        <v>0.11466999999999999</v>
      </c>
      <c r="R55" s="51">
        <v>0.127</v>
      </c>
      <c r="S55" s="51">
        <v>0.12909999999999999</v>
      </c>
      <c r="T55" s="51">
        <v>0.13489999999999999</v>
      </c>
      <c r="U55" s="51">
        <v>0.14199999999999999</v>
      </c>
      <c r="V55" s="51">
        <v>0.1578</v>
      </c>
      <c r="W55" s="51">
        <v>0.16830000000000001</v>
      </c>
      <c r="X55" s="51">
        <v>0.17169999999999999</v>
      </c>
      <c r="Y55" s="51">
        <v>0.17599999999999999</v>
      </c>
      <c r="Z55" s="51">
        <v>0.1777</v>
      </c>
      <c r="AA55" s="51">
        <v>0.1847</v>
      </c>
      <c r="AB55" s="51">
        <v>0.185</v>
      </c>
      <c r="AC55" s="51">
        <v>0.18640000000000001</v>
      </c>
      <c r="AD55" s="51">
        <v>0.19409999999999999</v>
      </c>
      <c r="AE55" s="51">
        <v>0.20252000000000001</v>
      </c>
      <c r="AF55" s="51">
        <v>0.23719999999999999</v>
      </c>
      <c r="AG55" s="51">
        <v>0.27618999999999999</v>
      </c>
      <c r="AH55" s="51">
        <v>0.30629000000000001</v>
      </c>
      <c r="AI55" s="51">
        <v>0.32890000000000003</v>
      </c>
      <c r="AJ55" s="51">
        <v>0.37941000000000003</v>
      </c>
      <c r="AK55" s="51">
        <v>0.39800000000000002</v>
      </c>
      <c r="AL55" s="33">
        <v>0.46618999999999999</v>
      </c>
    </row>
    <row r="56" spans="2:71" x14ac:dyDescent="0.3">
      <c r="B56" s="60" t="s">
        <v>60</v>
      </c>
      <c r="C56" s="61"/>
      <c r="D56" s="61"/>
      <c r="E56" s="51">
        <f>J13</f>
        <v>0</v>
      </c>
      <c r="F56" s="51">
        <f t="shared" ref="F56:Q56" si="2">+E56+VLOOKUP(F53,$D$13:$J$34,7,FALSE)</f>
        <v>4.3004205208026877E-2</v>
      </c>
      <c r="G56" s="51">
        <f t="shared" si="2"/>
        <v>4.7082614058893787E-2</v>
      </c>
      <c r="H56" s="51">
        <f t="shared" si="2"/>
        <v>5.1493140540477274E-2</v>
      </c>
      <c r="I56" s="51">
        <f t="shared" si="2"/>
        <v>5.3631319865779917E-2</v>
      </c>
      <c r="J56" s="51">
        <f t="shared" si="2"/>
        <v>5.4422231331797792E-2</v>
      </c>
      <c r="K56" s="51">
        <f t="shared" si="2"/>
        <v>5.4422231331797792E-2</v>
      </c>
      <c r="L56" s="51">
        <f t="shared" si="2"/>
        <v>6.1632155333614248E-2</v>
      </c>
      <c r="M56" s="51">
        <f t="shared" si="2"/>
        <v>6.6162189841413255E-2</v>
      </c>
      <c r="N56" s="51">
        <f t="shared" si="2"/>
        <v>7.8027462808142503E-2</v>
      </c>
      <c r="O56" s="51">
        <f t="shared" si="2"/>
        <v>0.11063579100299831</v>
      </c>
      <c r="P56" s="51">
        <f t="shared" si="2"/>
        <v>0.11809518538584297</v>
      </c>
      <c r="Q56" s="51">
        <f t="shared" si="2"/>
        <v>0.15158771295635592</v>
      </c>
      <c r="R56" s="51">
        <f>+Q56+VLOOKUP(R53,$D$13:$J$34,7,FALSE)</f>
        <v>0.16545676812913365</v>
      </c>
      <c r="S56" s="51">
        <f>+R56+VLOOKUP(S53,$D$13:$J$34,7,FALSE)</f>
        <v>0.16848201593748563</v>
      </c>
      <c r="T56" s="51">
        <f>+S56+VLOOKUP(T53,$D$13:$J$34,7,FALSE)</f>
        <v>0.16965697575959873</v>
      </c>
      <c r="U56" s="51">
        <f t="shared" ref="U56:Z56" si="3">+T56+VLOOKUP(U53,$D$13:$J$34,7,FALSE)</f>
        <v>0.17007524624643511</v>
      </c>
      <c r="V56" s="51">
        <f t="shared" si="3"/>
        <v>0.17056196099475379</v>
      </c>
      <c r="W56" s="51">
        <f t="shared" si="3"/>
        <v>0.18832304803513153</v>
      </c>
      <c r="X56" s="51">
        <f t="shared" si="3"/>
        <v>0.19344876718267184</v>
      </c>
      <c r="Y56" s="51">
        <f t="shared" si="3"/>
        <v>0.19592249018681665</v>
      </c>
      <c r="Z56" s="51">
        <f t="shared" si="3"/>
        <v>0.24539733047215323</v>
      </c>
      <c r="AA56" s="51">
        <f>+Z56+VLOOKUP(AA53,$D$13:$J$44,7,FALSE)</f>
        <v>0.25694822584370702</v>
      </c>
      <c r="AB56" s="51">
        <f t="shared" ref="AB56:AJ56" si="4">+AA56+VLOOKUP(AB53,$D$13:$J$44,7,FALSE)</f>
        <v>0.27409555254945273</v>
      </c>
      <c r="AC56" s="51">
        <f t="shared" si="4"/>
        <v>0.28191069302133293</v>
      </c>
      <c r="AD56" s="51">
        <f t="shared" si="4"/>
        <v>0.28638532569105679</v>
      </c>
      <c r="AE56" s="51">
        <f t="shared" si="4"/>
        <v>0.35142571690059454</v>
      </c>
      <c r="AF56" s="51">
        <f t="shared" si="4"/>
        <v>0.37197858420156737</v>
      </c>
      <c r="AG56" s="51">
        <f t="shared" si="4"/>
        <v>0.37497086210496661</v>
      </c>
      <c r="AH56" s="51">
        <f t="shared" si="4"/>
        <v>0.40062910938513346</v>
      </c>
      <c r="AI56" s="51">
        <f>+AH56+VLOOKUP(AI53,$D$13:$J$44,7,FALSE)</f>
        <v>0.41264648663168413</v>
      </c>
      <c r="AJ56" s="51">
        <f t="shared" si="4"/>
        <v>0.44295376749216431</v>
      </c>
      <c r="AK56" s="51">
        <f>+AJ56+VLOOKUP(AK53,$D$13:$J$46,7,FALSE)</f>
        <v>0.44565199127001087</v>
      </c>
      <c r="AL56" s="98">
        <f>+AK56+VLOOKUP(AL53,$D$13:$J$46,7,FALSE)</f>
        <v>0.45514987482489233</v>
      </c>
    </row>
    <row r="57" spans="2:71" ht="15" thickBot="1" x14ac:dyDescent="0.35">
      <c r="B57" s="62" t="s">
        <v>61</v>
      </c>
      <c r="C57" s="63"/>
      <c r="D57" s="63"/>
      <c r="E57" s="52">
        <f t="shared" ref="E57:AL57" si="5">(E55*$K$2)</f>
        <v>0</v>
      </c>
      <c r="F57" s="52">
        <f t="shared" si="5"/>
        <v>22436023.337912999</v>
      </c>
      <c r="G57" s="52">
        <f t="shared" si="5"/>
        <v>27527886.790488999</v>
      </c>
      <c r="H57" s="52">
        <f t="shared" si="5"/>
        <v>58874671.17041</v>
      </c>
      <c r="I57" s="52">
        <f t="shared" si="5"/>
        <v>74452590.920634702</v>
      </c>
      <c r="J57" s="52">
        <f t="shared" si="5"/>
        <v>94995077.537121013</v>
      </c>
      <c r="K57" s="52">
        <f t="shared" si="5"/>
        <v>109793305.69617002</v>
      </c>
      <c r="L57" s="52">
        <f t="shared" si="5"/>
        <v>146391074.26155999</v>
      </c>
      <c r="M57" s="52">
        <f t="shared" si="5"/>
        <v>156256559.70092601</v>
      </c>
      <c r="N57" s="52">
        <f t="shared" si="5"/>
        <v>162350883.7707279</v>
      </c>
      <c r="O57" s="52">
        <f t="shared" si="5"/>
        <v>170306920.41537791</v>
      </c>
      <c r="P57" s="52">
        <f t="shared" si="5"/>
        <v>176114827.16597241</v>
      </c>
      <c r="Q57" s="52">
        <f t="shared" si="5"/>
        <v>182463744.4084031</v>
      </c>
      <c r="R57" s="52">
        <f t="shared" si="5"/>
        <v>202083330.77411002</v>
      </c>
      <c r="S57" s="52">
        <f t="shared" si="5"/>
        <v>205424866.16486299</v>
      </c>
      <c r="T57" s="52">
        <f t="shared" si="5"/>
        <v>214653868.67265698</v>
      </c>
      <c r="U57" s="52">
        <f t="shared" si="5"/>
        <v>225951440.70806</v>
      </c>
      <c r="V57" s="52">
        <f t="shared" si="5"/>
        <v>251092516.50515401</v>
      </c>
      <c r="W57" s="52">
        <f t="shared" si="5"/>
        <v>267800193.45891902</v>
      </c>
      <c r="X57" s="52">
        <f t="shared" si="5"/>
        <v>273210298.37728101</v>
      </c>
      <c r="Y57" s="52">
        <f t="shared" si="5"/>
        <v>280052489.89168</v>
      </c>
      <c r="Z57" s="53">
        <f t="shared" si="5"/>
        <v>282757542.35086101</v>
      </c>
      <c r="AA57" s="53">
        <f t="shared" si="5"/>
        <v>293895993.65337104</v>
      </c>
      <c r="AB57" s="53">
        <f t="shared" si="5"/>
        <v>294373355.85205001</v>
      </c>
      <c r="AC57" s="53">
        <f t="shared" si="5"/>
        <v>296601046.11255205</v>
      </c>
      <c r="AD57" s="53">
        <f t="shared" si="5"/>
        <v>308853342.545313</v>
      </c>
      <c r="AE57" s="53">
        <f t="shared" si="5"/>
        <v>322251308.25490361</v>
      </c>
      <c r="AF57" s="53">
        <f t="shared" si="5"/>
        <v>377434378.42219603</v>
      </c>
      <c r="AG57" s="53">
        <f t="shared" si="5"/>
        <v>439475552.17717671</v>
      </c>
      <c r="AH57" s="53">
        <f t="shared" si="5"/>
        <v>487370892.77796972</v>
      </c>
      <c r="AI57" s="53">
        <f t="shared" si="5"/>
        <v>523348090.48507708</v>
      </c>
      <c r="AJ57" s="53">
        <f t="shared" si="5"/>
        <v>603719972.66933131</v>
      </c>
      <c r="AK57" s="53">
        <f t="shared" si="5"/>
        <v>633300516.91414011</v>
      </c>
      <c r="AL57" s="53">
        <f t="shared" si="5"/>
        <v>741804944.67387676</v>
      </c>
    </row>
    <row r="58" spans="2:71" ht="11.25" customHeight="1" x14ac:dyDescent="0.3"/>
    <row r="59" spans="2:71" ht="11.25" customHeight="1" x14ac:dyDescent="0.3"/>
  </sheetData>
  <mergeCells count="20">
    <mergeCell ref="H2:J2"/>
    <mergeCell ref="H3:J3"/>
    <mergeCell ref="B5:D5"/>
    <mergeCell ref="B6:D6"/>
    <mergeCell ref="B8:G8"/>
    <mergeCell ref="B9:D9"/>
    <mergeCell ref="G9:G10"/>
    <mergeCell ref="B10:D10"/>
    <mergeCell ref="B52:AL52"/>
    <mergeCell ref="B56:D56"/>
    <mergeCell ref="B57:D57"/>
    <mergeCell ref="B12:C12"/>
    <mergeCell ref="B47:D47"/>
    <mergeCell ref="B48:D48"/>
    <mergeCell ref="B49:D49"/>
    <mergeCell ref="B2:D2"/>
    <mergeCell ref="B3:D3"/>
    <mergeCell ref="B53:D53"/>
    <mergeCell ref="B54:D54"/>
    <mergeCell ref="B55:D55"/>
  </mergeCells>
  <conditionalFormatting sqref="G9">
    <cfRule type="cellIs" dxfId="1" priority="5" operator="lessThan">
      <formula>0</formula>
    </cfRule>
  </conditionalFormatting>
  <conditionalFormatting sqref="F10">
    <cfRule type="cellIs" dxfId="0" priority="6" operator="lessThan">
      <formula>$F$9</formula>
    </cfRule>
  </conditionalFormatting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2022-10-09T06:56:18Z</dcterms:created>
  <dcterms:modified xsi:type="dcterms:W3CDTF">2022-10-09T07:07:41Z</dcterms:modified>
</cp:coreProperties>
</file>