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reouisedu-my.sharepoint.com/personal/andres2164297_correo_uis_edu_co/Documents/TRABAJO DE GRADO 2/"/>
    </mc:Choice>
  </mc:AlternateContent>
  <xr:revisionPtr revIDLastSave="7" documentId="13_ncr:1_{85945619-1192-424A-AAC4-06AA5B2B0746}" xr6:coauthVersionLast="47" xr6:coauthVersionMax="47" xr10:uidLastSave="{D1BA09A7-0FF9-4F82-B644-32EBBB969EDA}"/>
  <bookViews>
    <workbookView xWindow="-120" yWindow="-120" windowWidth="20730" windowHeight="11160" xr2:uid="{00000000-000D-0000-FFFF-FFFF00000000}"/>
  </bookViews>
  <sheets>
    <sheet name="Inversiones" sheetId="21" r:id="rId1"/>
    <sheet name="Capital de Trabajo" sheetId="35" r:id="rId2"/>
    <sheet name="Financiamiento" sheetId="36" r:id="rId3"/>
    <sheet name="Dep. y amort. " sheetId="27" r:id="rId4"/>
    <sheet name="Ingresos" sheetId="34" r:id="rId5"/>
    <sheet name="Sueldos" sheetId="22" r:id="rId6"/>
    <sheet name="Costos y Gastos" sheetId="33" r:id="rId7"/>
    <sheet name="Balance PyG" sheetId="37" r:id="rId8"/>
    <sheet name="FC" sheetId="2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21" l="1"/>
  <c r="B170" i="28"/>
  <c r="B112" i="28"/>
  <c r="F56" i="33"/>
  <c r="G56" i="33"/>
  <c r="H56" i="33"/>
  <c r="I56" i="33"/>
  <c r="E56" i="33"/>
  <c r="H6" i="33" l="1"/>
  <c r="A16" i="34"/>
  <c r="F3" i="34"/>
  <c r="C3" i="34"/>
  <c r="E4" i="34"/>
  <c r="B15" i="27"/>
  <c r="G3" i="34" l="1"/>
  <c r="C23" i="34"/>
  <c r="B2" i="33" l="1"/>
  <c r="E17" i="21" l="1"/>
  <c r="F17" i="21" s="1"/>
  <c r="I17" i="21" s="1"/>
  <c r="C7" i="34"/>
  <c r="D16" i="34" s="1"/>
  <c r="B16" i="34"/>
  <c r="B57" i="22"/>
  <c r="C57" i="22"/>
  <c r="D57" i="22"/>
  <c r="E57" i="22"/>
  <c r="F57" i="22"/>
  <c r="G57" i="22"/>
  <c r="B58" i="22"/>
  <c r="C58" i="22"/>
  <c r="D58" i="22"/>
  <c r="E58" i="22"/>
  <c r="F58" i="22"/>
  <c r="G58" i="22"/>
  <c r="B59" i="22"/>
  <c r="C59" i="22"/>
  <c r="D59" i="22"/>
  <c r="E59" i="22"/>
  <c r="F59" i="22"/>
  <c r="G59" i="22"/>
  <c r="C60" i="22"/>
  <c r="D60" i="22"/>
  <c r="E60" i="22"/>
  <c r="F60" i="22"/>
  <c r="G60" i="22"/>
  <c r="I33" i="28"/>
  <c r="I32" i="28"/>
  <c r="A15" i="28"/>
  <c r="A13" i="28"/>
  <c r="A14" i="28"/>
  <c r="A11" i="28"/>
  <c r="A12" i="28"/>
  <c r="A9" i="28"/>
  <c r="A10" i="28"/>
  <c r="B56" i="21"/>
  <c r="B6" i="36" s="1"/>
  <c r="B55" i="21"/>
  <c r="B5" i="36" s="1"/>
  <c r="B54" i="21"/>
  <c r="B4" i="36" s="1"/>
  <c r="B53" i="21"/>
  <c r="B3" i="36" s="1"/>
  <c r="B52" i="21"/>
  <c r="B2" i="36" s="1"/>
  <c r="B40" i="21"/>
  <c r="B41" i="21"/>
  <c r="B42" i="21"/>
  <c r="D30" i="33"/>
  <c r="E30" i="33" s="1"/>
  <c r="F30" i="33" s="1"/>
  <c r="G30" i="33" s="1"/>
  <c r="H30" i="33" s="1"/>
  <c r="I30" i="33" s="1"/>
  <c r="D31" i="33"/>
  <c r="E31" i="33" s="1"/>
  <c r="F31" i="33" s="1"/>
  <c r="G31" i="33" s="1"/>
  <c r="H31" i="33" s="1"/>
  <c r="I31" i="33" s="1"/>
  <c r="D32" i="33"/>
  <c r="E32" i="33" s="1"/>
  <c r="F32" i="33" s="1"/>
  <c r="G32" i="33" s="1"/>
  <c r="H32" i="33" s="1"/>
  <c r="I32" i="33" s="1"/>
  <c r="D33" i="33"/>
  <c r="E33" i="33" s="1"/>
  <c r="F33" i="33" s="1"/>
  <c r="G33" i="33" s="1"/>
  <c r="H33" i="33" s="1"/>
  <c r="I33" i="33" s="1"/>
  <c r="D34" i="33"/>
  <c r="E34" i="33" s="1"/>
  <c r="F34" i="33" s="1"/>
  <c r="G34" i="33" s="1"/>
  <c r="H34" i="33" s="1"/>
  <c r="I34" i="33" s="1"/>
  <c r="D35" i="33"/>
  <c r="E35" i="33" s="1"/>
  <c r="F35" i="33" s="1"/>
  <c r="G35" i="33" s="1"/>
  <c r="H35" i="33" s="1"/>
  <c r="I35" i="33" s="1"/>
  <c r="D36" i="33"/>
  <c r="E36" i="33" s="1"/>
  <c r="F36" i="33" s="1"/>
  <c r="G36" i="33" s="1"/>
  <c r="H36" i="33" s="1"/>
  <c r="I36" i="33" s="1"/>
  <c r="D37" i="33"/>
  <c r="E37" i="33" s="1"/>
  <c r="F37" i="33" s="1"/>
  <c r="G37" i="33" s="1"/>
  <c r="H37" i="33" s="1"/>
  <c r="I37" i="33" s="1"/>
  <c r="D38" i="33"/>
  <c r="E38" i="33" s="1"/>
  <c r="F38" i="33" s="1"/>
  <c r="G38" i="33" s="1"/>
  <c r="H38" i="33" s="1"/>
  <c r="I38" i="33" s="1"/>
  <c r="D39" i="33"/>
  <c r="E39" i="33" s="1"/>
  <c r="F39" i="33" s="1"/>
  <c r="G39" i="33" s="1"/>
  <c r="H39" i="33" s="1"/>
  <c r="I39" i="33" s="1"/>
  <c r="D40" i="33"/>
  <c r="E40" i="33" s="1"/>
  <c r="F40" i="33" s="1"/>
  <c r="G40" i="33" s="1"/>
  <c r="H40" i="33" s="1"/>
  <c r="I40" i="33" s="1"/>
  <c r="D29" i="33"/>
  <c r="E29" i="33" s="1"/>
  <c r="D16" i="33"/>
  <c r="D17" i="33"/>
  <c r="E17" i="33" s="1"/>
  <c r="F17" i="33" s="1"/>
  <c r="G17" i="33" s="1"/>
  <c r="H17" i="33" s="1"/>
  <c r="I17" i="33" s="1"/>
  <c r="D2" i="33"/>
  <c r="J1" i="33"/>
  <c r="A2" i="33"/>
  <c r="A6" i="33" s="1"/>
  <c r="B23" i="34"/>
  <c r="B29" i="34" s="1"/>
  <c r="H3" i="34"/>
  <c r="I3" i="34" s="1"/>
  <c r="J3" i="34" s="1"/>
  <c r="E22" i="21"/>
  <c r="F20" i="21"/>
  <c r="F21" i="21"/>
  <c r="F19" i="21"/>
  <c r="E16" i="21"/>
  <c r="E12" i="21"/>
  <c r="E7" i="21"/>
  <c r="F11" i="21"/>
  <c r="M11" i="21" s="1"/>
  <c r="F10" i="21"/>
  <c r="K10" i="21" s="1"/>
  <c r="B19" i="36"/>
  <c r="B20" i="36"/>
  <c r="B21" i="36"/>
  <c r="B22" i="36"/>
  <c r="B23" i="36"/>
  <c r="B24" i="36"/>
  <c r="B25" i="36"/>
  <c r="B26" i="36"/>
  <c r="B27" i="36"/>
  <c r="B18" i="36"/>
  <c r="E17" i="36"/>
  <c r="C18" i="36" l="1"/>
  <c r="D18" i="36" s="1"/>
  <c r="E18" i="36" s="1"/>
  <c r="E18" i="21"/>
  <c r="B35" i="34"/>
  <c r="M17" i="21"/>
  <c r="L11" i="21"/>
  <c r="J11" i="21"/>
  <c r="K11" i="21"/>
  <c r="I11" i="21"/>
  <c r="F22" i="21"/>
  <c r="C56" i="21" s="1"/>
  <c r="C6" i="36" s="1"/>
  <c r="M10" i="21"/>
  <c r="L10" i="21"/>
  <c r="L17" i="21"/>
  <c r="J10" i="21"/>
  <c r="K17" i="21"/>
  <c r="I10" i="21"/>
  <c r="J17" i="21"/>
  <c r="F18" i="21"/>
  <c r="C55" i="21" s="1"/>
  <c r="C5" i="36" s="1"/>
  <c r="E41" i="33"/>
  <c r="B70" i="33" s="1"/>
  <c r="D41" i="33"/>
  <c r="F29" i="33"/>
  <c r="F41" i="33" s="1"/>
  <c r="C70" i="33" s="1"/>
  <c r="C11" i="37" s="1"/>
  <c r="C13" i="28" s="1"/>
  <c r="D18" i="33"/>
  <c r="E2" i="33"/>
  <c r="B11" i="37" l="1"/>
  <c r="B13" i="28" s="1"/>
  <c r="C40" i="21"/>
  <c r="L70" i="33"/>
  <c r="G70" i="33"/>
  <c r="G29" i="33"/>
  <c r="G41" i="33" s="1"/>
  <c r="D70" i="33" s="1"/>
  <c r="D11" i="37" s="1"/>
  <c r="D13" i="28" s="1"/>
  <c r="F2" i="33"/>
  <c r="H70" i="33" l="1"/>
  <c r="B36" i="37"/>
  <c r="B72" i="28" s="1"/>
  <c r="M70" i="33"/>
  <c r="B62" i="37"/>
  <c r="B130" i="28" s="1"/>
  <c r="N70" i="33"/>
  <c r="C62" i="37"/>
  <c r="C130" i="28" s="1"/>
  <c r="H29" i="33"/>
  <c r="H41" i="33" s="1"/>
  <c r="E70" i="33" s="1"/>
  <c r="E11" i="37" s="1"/>
  <c r="E13" i="28" s="1"/>
  <c r="G2" i="33"/>
  <c r="I70" i="33" l="1"/>
  <c r="C36" i="37"/>
  <c r="C72" i="28" s="1"/>
  <c r="O70" i="33"/>
  <c r="D62" i="37"/>
  <c r="D130" i="28" s="1"/>
  <c r="I29" i="33"/>
  <c r="I41" i="33" s="1"/>
  <c r="F70" i="33" s="1"/>
  <c r="F11" i="37" s="1"/>
  <c r="F13" i="28" s="1"/>
  <c r="H2" i="33"/>
  <c r="J70" i="33" l="1"/>
  <c r="D36" i="37"/>
  <c r="D72" i="28" s="1"/>
  <c r="P70" i="33"/>
  <c r="F62" i="37" s="1"/>
  <c r="F130" i="28" s="1"/>
  <c r="E62" i="37"/>
  <c r="E130" i="28" s="1"/>
  <c r="K70" i="33" l="1"/>
  <c r="F36" i="37" s="1"/>
  <c r="F72" i="28" s="1"/>
  <c r="E36" i="37"/>
  <c r="E72" i="28" s="1"/>
  <c r="D14" i="36"/>
  <c r="B17" i="37" l="1"/>
  <c r="B68" i="37" l="1"/>
  <c r="B42" i="37"/>
  <c r="B18" i="37"/>
  <c r="B19" i="28"/>
  <c r="B27" i="28" s="1"/>
  <c r="I34" i="28"/>
  <c r="D54" i="33"/>
  <c r="E54" i="33" s="1"/>
  <c r="F54" i="33" s="1"/>
  <c r="G54" i="33" s="1"/>
  <c r="H54" i="33" s="1"/>
  <c r="I54" i="33" s="1"/>
  <c r="B18" i="22"/>
  <c r="B19" i="22"/>
  <c r="B17" i="22"/>
  <c r="E6" i="22"/>
  <c r="K6" i="22"/>
  <c r="F6" i="21"/>
  <c r="F14" i="21"/>
  <c r="F15" i="21"/>
  <c r="B43" i="37" l="1"/>
  <c r="B78" i="28"/>
  <c r="B86" i="28" s="1"/>
  <c r="B136" i="28"/>
  <c r="B144" i="28" s="1"/>
  <c r="B69" i="37"/>
  <c r="I14" i="21"/>
  <c r="K14" i="21"/>
  <c r="L14" i="21"/>
  <c r="M14" i="21"/>
  <c r="J14" i="21"/>
  <c r="K6" i="21"/>
  <c r="M6" i="21"/>
  <c r="J6" i="21"/>
  <c r="L6" i="21"/>
  <c r="I6" i="21"/>
  <c r="L15" i="21"/>
  <c r="I15" i="21"/>
  <c r="K15" i="21"/>
  <c r="M15" i="21"/>
  <c r="J15" i="21"/>
  <c r="B31" i="28"/>
  <c r="B37" i="21"/>
  <c r="B38" i="21"/>
  <c r="B39" i="21"/>
  <c r="B90" i="28" l="1"/>
  <c r="B148" i="28"/>
  <c r="C6" i="34"/>
  <c r="M18" i="33"/>
  <c r="M19" i="33" s="1"/>
  <c r="F13" i="21" l="1"/>
  <c r="C17" i="34" l="1"/>
  <c r="C18" i="34" s="1"/>
  <c r="H16" i="34"/>
  <c r="F16" i="21"/>
  <c r="C54" i="21" s="1"/>
  <c r="C4" i="36" s="1"/>
  <c r="I13" i="21"/>
  <c r="J13" i="21"/>
  <c r="K13" i="21"/>
  <c r="L13" i="21"/>
  <c r="M13" i="21"/>
  <c r="D53" i="33"/>
  <c r="D48" i="33"/>
  <c r="E48" i="33" s="1"/>
  <c r="F48" i="33" s="1"/>
  <c r="G48" i="33" s="1"/>
  <c r="H48" i="33" s="1"/>
  <c r="I48" i="33" s="1"/>
  <c r="D47" i="33"/>
  <c r="E47" i="33" s="1"/>
  <c r="F47" i="33" s="1"/>
  <c r="G47" i="33" s="1"/>
  <c r="H47" i="33" s="1"/>
  <c r="I47" i="33" s="1"/>
  <c r="D46" i="33"/>
  <c r="E46" i="33" s="1"/>
  <c r="F46" i="33" s="1"/>
  <c r="G46" i="33" s="1"/>
  <c r="H46" i="33" s="1"/>
  <c r="I46" i="33" s="1"/>
  <c r="D45" i="33"/>
  <c r="E45" i="33" s="1"/>
  <c r="D24" i="33"/>
  <c r="E24" i="33" s="1"/>
  <c r="F24" i="33" s="1"/>
  <c r="G24" i="33" s="1"/>
  <c r="H24" i="33" s="1"/>
  <c r="I24" i="33" s="1"/>
  <c r="D23" i="33"/>
  <c r="E23" i="33" s="1"/>
  <c r="F23" i="33" s="1"/>
  <c r="G23" i="33" s="1"/>
  <c r="H23" i="33" s="1"/>
  <c r="I23" i="33" s="1"/>
  <c r="D22" i="33"/>
  <c r="E22" i="33" s="1"/>
  <c r="D11" i="33"/>
  <c r="D12" i="33" s="1"/>
  <c r="D19" i="22"/>
  <c r="D28" i="22" s="1"/>
  <c r="D36" i="22" s="1"/>
  <c r="D44" i="22" s="1"/>
  <c r="D52" i="22" s="1"/>
  <c r="C19" i="22"/>
  <c r="C28" i="22" s="1"/>
  <c r="D18" i="22"/>
  <c r="D27" i="22" s="1"/>
  <c r="D35" i="22" s="1"/>
  <c r="D43" i="22" s="1"/>
  <c r="D51" i="22" s="1"/>
  <c r="C18" i="22"/>
  <c r="D17" i="22"/>
  <c r="C17" i="22"/>
  <c r="C26" i="22" s="1"/>
  <c r="D7" i="22"/>
  <c r="C7" i="22"/>
  <c r="E5" i="22"/>
  <c r="E4" i="22"/>
  <c r="D17" i="34" l="1"/>
  <c r="E16" i="34"/>
  <c r="M16" i="34"/>
  <c r="I16" i="34"/>
  <c r="H17" i="34"/>
  <c r="B6" i="33"/>
  <c r="E53" i="33"/>
  <c r="F53" i="33" s="1"/>
  <c r="G53" i="33" s="1"/>
  <c r="H53" i="33" s="1"/>
  <c r="I53" i="33" s="1"/>
  <c r="D55" i="33"/>
  <c r="D49" i="33"/>
  <c r="E17" i="22"/>
  <c r="F17" i="22" s="1"/>
  <c r="F22" i="33"/>
  <c r="E25" i="33"/>
  <c r="B69" i="33" s="1"/>
  <c r="E49" i="33"/>
  <c r="B71" i="33" s="1"/>
  <c r="D25" i="33"/>
  <c r="F45" i="33"/>
  <c r="E11" i="33"/>
  <c r="F11" i="33" s="1"/>
  <c r="E16" i="33"/>
  <c r="E18" i="33" s="1"/>
  <c r="B68" i="33" s="1"/>
  <c r="C36" i="22"/>
  <c r="E28" i="22"/>
  <c r="F28" i="22" s="1"/>
  <c r="C34" i="22"/>
  <c r="E18" i="22"/>
  <c r="F18" i="22" s="1"/>
  <c r="E19" i="22"/>
  <c r="F19" i="22" s="1"/>
  <c r="D26" i="22"/>
  <c r="E26" i="22" s="1"/>
  <c r="F26" i="22" s="1"/>
  <c r="C27" i="22"/>
  <c r="D20" i="22"/>
  <c r="C20" i="22"/>
  <c r="E17" i="34" l="1"/>
  <c r="F16" i="34"/>
  <c r="M17" i="34"/>
  <c r="N16" i="34"/>
  <c r="J16" i="34"/>
  <c r="I17" i="34"/>
  <c r="B12" i="37"/>
  <c r="B14" i="28" s="1"/>
  <c r="C41" i="21"/>
  <c r="C38" i="21"/>
  <c r="B9" i="37"/>
  <c r="B11" i="28" s="1"/>
  <c r="C39" i="21"/>
  <c r="B10" i="37"/>
  <c r="B12" i="28" s="1"/>
  <c r="C29" i="34"/>
  <c r="G6" i="33"/>
  <c r="B7" i="33"/>
  <c r="B63" i="33" s="1"/>
  <c r="D23" i="34"/>
  <c r="C6" i="33"/>
  <c r="B5" i="35"/>
  <c r="C5" i="35" s="1"/>
  <c r="D5" i="35" s="1"/>
  <c r="B6" i="35"/>
  <c r="C6" i="35" s="1"/>
  <c r="D6" i="35" s="1"/>
  <c r="E55" i="33"/>
  <c r="B72" i="33" s="1"/>
  <c r="C29" i="22"/>
  <c r="F16" i="33"/>
  <c r="F18" i="33" s="1"/>
  <c r="C68" i="33" s="1"/>
  <c r="C9" i="37" s="1"/>
  <c r="C11" i="28" s="1"/>
  <c r="G45" i="33"/>
  <c r="F49" i="33"/>
  <c r="C71" i="33" s="1"/>
  <c r="C12" i="37" s="1"/>
  <c r="C14" i="28" s="1"/>
  <c r="E12" i="33"/>
  <c r="B67" i="33" s="1"/>
  <c r="F25" i="33"/>
  <c r="C69" i="33" s="1"/>
  <c r="C10" i="37" s="1"/>
  <c r="C12" i="28" s="1"/>
  <c r="G22" i="33"/>
  <c r="C42" i="22"/>
  <c r="C35" i="22"/>
  <c r="E27" i="22"/>
  <c r="F27" i="22" s="1"/>
  <c r="E20" i="22"/>
  <c r="B2" i="35" s="1"/>
  <c r="E36" i="22"/>
  <c r="F36" i="22" s="1"/>
  <c r="C44" i="22"/>
  <c r="D34" i="22"/>
  <c r="D29" i="22"/>
  <c r="F17" i="34" l="1"/>
  <c r="G16" i="34"/>
  <c r="G17" i="34" s="1"/>
  <c r="K16" i="34"/>
  <c r="J17" i="34"/>
  <c r="N17" i="34"/>
  <c r="O16" i="34"/>
  <c r="B79" i="33"/>
  <c r="B8" i="37"/>
  <c r="B10" i="28" s="1"/>
  <c r="C37" i="21"/>
  <c r="G72" i="33"/>
  <c r="B13" i="37"/>
  <c r="B15" i="28" s="1"/>
  <c r="C42" i="21"/>
  <c r="L72" i="33"/>
  <c r="G7" i="33"/>
  <c r="G63" i="33" s="1"/>
  <c r="B31" i="37" s="1"/>
  <c r="C7" i="33"/>
  <c r="C63" i="33" s="1"/>
  <c r="C6" i="37" s="1"/>
  <c r="C35" i="34"/>
  <c r="L6" i="33"/>
  <c r="D29" i="34"/>
  <c r="E23" i="34"/>
  <c r="D6" i="33"/>
  <c r="B6" i="37"/>
  <c r="C35" i="21"/>
  <c r="G69" i="33"/>
  <c r="B7" i="35"/>
  <c r="C7" i="35" s="1"/>
  <c r="D7" i="35" s="1"/>
  <c r="L69" i="33"/>
  <c r="B61" i="37" s="1"/>
  <c r="B129" i="28" s="1"/>
  <c r="B3" i="35"/>
  <c r="C3" i="35" s="1"/>
  <c r="D3" i="35" s="1"/>
  <c r="L71" i="33"/>
  <c r="G71" i="33"/>
  <c r="B4" i="35"/>
  <c r="C4" i="35" s="1"/>
  <c r="D4" i="35" s="1"/>
  <c r="C2" i="35"/>
  <c r="F55" i="33"/>
  <c r="C72" i="33" s="1"/>
  <c r="C13" i="37" s="1"/>
  <c r="C15" i="28" s="1"/>
  <c r="E29" i="22"/>
  <c r="H45" i="33"/>
  <c r="G49" i="33"/>
  <c r="D71" i="33" s="1"/>
  <c r="D12" i="37" s="1"/>
  <c r="D14" i="28" s="1"/>
  <c r="G16" i="33"/>
  <c r="G18" i="33" s="1"/>
  <c r="D68" i="33" s="1"/>
  <c r="D9" i="37" s="1"/>
  <c r="D11" i="28" s="1"/>
  <c r="G25" i="33"/>
  <c r="D69" i="33" s="1"/>
  <c r="D10" i="37" s="1"/>
  <c r="D12" i="28" s="1"/>
  <c r="H22" i="33"/>
  <c r="G11" i="33"/>
  <c r="F12" i="33"/>
  <c r="C67" i="33" s="1"/>
  <c r="C8" i="37" s="1"/>
  <c r="C10" i="28" s="1"/>
  <c r="E35" i="22"/>
  <c r="F35" i="22" s="1"/>
  <c r="C43" i="22"/>
  <c r="C50" i="22"/>
  <c r="D42" i="22"/>
  <c r="D37" i="22"/>
  <c r="C37" i="22"/>
  <c r="E34" i="22"/>
  <c r="F34" i="22" s="1"/>
  <c r="C52" i="22"/>
  <c r="E44" i="22"/>
  <c r="F44" i="22" s="1"/>
  <c r="K17" i="34" l="1"/>
  <c r="L16" i="34"/>
  <c r="L17" i="34" s="1"/>
  <c r="O17" i="34"/>
  <c r="P16" i="34"/>
  <c r="C6" i="28"/>
  <c r="B65" i="28"/>
  <c r="M72" i="33"/>
  <c r="B64" i="37"/>
  <c r="B132" i="28" s="1"/>
  <c r="H69" i="33"/>
  <c r="B35" i="37"/>
  <c r="B71" i="28" s="1"/>
  <c r="H71" i="33"/>
  <c r="B37" i="37"/>
  <c r="B73" i="28" s="1"/>
  <c r="M71" i="33"/>
  <c r="C63" i="37" s="1"/>
  <c r="C131" i="28" s="1"/>
  <c r="B63" i="37"/>
  <c r="B131" i="28" s="1"/>
  <c r="B6" i="28"/>
  <c r="B38" i="37"/>
  <c r="B74" i="28" s="1"/>
  <c r="H72" i="33"/>
  <c r="F23" i="34"/>
  <c r="E6" i="33"/>
  <c r="E29" i="34"/>
  <c r="I6" i="33"/>
  <c r="D35" i="34"/>
  <c r="M6" i="33"/>
  <c r="M69" i="33"/>
  <c r="G67" i="33"/>
  <c r="L67" i="33"/>
  <c r="G68" i="33"/>
  <c r="B8" i="35"/>
  <c r="B9" i="35" s="1"/>
  <c r="B11" i="35" s="1"/>
  <c r="L68" i="33"/>
  <c r="C8" i="35"/>
  <c r="D2" i="35"/>
  <c r="D8" i="35" s="1"/>
  <c r="G55" i="33"/>
  <c r="D72" i="33" s="1"/>
  <c r="D13" i="37" s="1"/>
  <c r="D15" i="28" s="1"/>
  <c r="C45" i="22"/>
  <c r="G12" i="33"/>
  <c r="D67" i="33" s="1"/>
  <c r="D8" i="37" s="1"/>
  <c r="D10" i="28" s="1"/>
  <c r="H11" i="33"/>
  <c r="H16" i="33"/>
  <c r="H18" i="33" s="1"/>
  <c r="E68" i="33" s="1"/>
  <c r="E9" i="37" s="1"/>
  <c r="E11" i="28" s="1"/>
  <c r="I22" i="33"/>
  <c r="I25" i="33" s="1"/>
  <c r="F69" i="33" s="1"/>
  <c r="F10" i="37" s="1"/>
  <c r="F12" i="28" s="1"/>
  <c r="H25" i="33"/>
  <c r="E69" i="33" s="1"/>
  <c r="E10" i="37" s="1"/>
  <c r="E12" i="28" s="1"/>
  <c r="H49" i="33"/>
  <c r="E71" i="33" s="1"/>
  <c r="E12" i="37" s="1"/>
  <c r="E14" i="28" s="1"/>
  <c r="I45" i="33"/>
  <c r="I49" i="33" s="1"/>
  <c r="F71" i="33" s="1"/>
  <c r="F12" i="37" s="1"/>
  <c r="F14" i="28" s="1"/>
  <c r="E37" i="22"/>
  <c r="D50" i="22"/>
  <c r="D53" i="22" s="1"/>
  <c r="D45" i="22"/>
  <c r="C51" i="22"/>
  <c r="E43" i="22"/>
  <c r="F43" i="22" s="1"/>
  <c r="E52" i="22"/>
  <c r="F52" i="22" s="1"/>
  <c r="E42" i="22"/>
  <c r="F42" i="22" s="1"/>
  <c r="Q16" i="34" l="1"/>
  <c r="Q17" i="34" s="1"/>
  <c r="P17" i="34"/>
  <c r="M68" i="33"/>
  <c r="C60" i="37" s="1"/>
  <c r="C128" i="28" s="1"/>
  <c r="B60" i="37"/>
  <c r="B128" i="28" s="1"/>
  <c r="N71" i="33"/>
  <c r="O71" i="33" s="1"/>
  <c r="I72" i="33"/>
  <c r="C38" i="37"/>
  <c r="C74" i="28" s="1"/>
  <c r="M67" i="33"/>
  <c r="N67" i="33" s="1"/>
  <c r="B59" i="37"/>
  <c r="B127" i="28" s="1"/>
  <c r="I69" i="33"/>
  <c r="C35" i="37"/>
  <c r="C71" i="28" s="1"/>
  <c r="I71" i="33"/>
  <c r="C37" i="37"/>
  <c r="C73" i="28" s="1"/>
  <c r="H67" i="33"/>
  <c r="B33" i="37"/>
  <c r="B69" i="28" s="1"/>
  <c r="H68" i="33"/>
  <c r="C34" i="37" s="1"/>
  <c r="C70" i="28" s="1"/>
  <c r="B34" i="37"/>
  <c r="B70" i="28" s="1"/>
  <c r="C64" i="37"/>
  <c r="C132" i="28" s="1"/>
  <c r="N72" i="33"/>
  <c r="N69" i="33"/>
  <c r="C61" i="37"/>
  <c r="C129" i="28" s="1"/>
  <c r="E35" i="34"/>
  <c r="N6" i="33"/>
  <c r="G23" i="34"/>
  <c r="F6" i="33"/>
  <c r="F29" i="34"/>
  <c r="J6" i="33"/>
  <c r="I55" i="33"/>
  <c r="F72" i="33" s="1"/>
  <c r="F13" i="37" s="1"/>
  <c r="F15" i="28" s="1"/>
  <c r="H55" i="33"/>
  <c r="E72" i="33" s="1"/>
  <c r="E13" i="37" s="1"/>
  <c r="E15" i="28" s="1"/>
  <c r="N68" i="33"/>
  <c r="D60" i="37" s="1"/>
  <c r="D128" i="28" s="1"/>
  <c r="C53" i="22"/>
  <c r="I16" i="33"/>
  <c r="I18" i="33" s="1"/>
  <c r="F68" i="33" s="1"/>
  <c r="F9" i="37" s="1"/>
  <c r="F11" i="28" s="1"/>
  <c r="H12" i="33"/>
  <c r="E67" i="33" s="1"/>
  <c r="E8" i="37" s="1"/>
  <c r="E10" i="28" s="1"/>
  <c r="I11" i="33"/>
  <c r="I12" i="33" s="1"/>
  <c r="F67" i="33" s="1"/>
  <c r="F8" i="37" s="1"/>
  <c r="F10" i="28" s="1"/>
  <c r="E51" i="22"/>
  <c r="F51" i="22" s="1"/>
  <c r="E45" i="22"/>
  <c r="E50" i="22"/>
  <c r="F50" i="22" s="1"/>
  <c r="C59" i="37" l="1"/>
  <c r="C127" i="28" s="1"/>
  <c r="I68" i="33"/>
  <c r="D34" i="37" s="1"/>
  <c r="D70" i="28" s="1"/>
  <c r="D64" i="37"/>
  <c r="D132" i="28" s="1"/>
  <c r="O72" i="33"/>
  <c r="J69" i="33"/>
  <c r="D35" i="37"/>
  <c r="D71" i="28" s="1"/>
  <c r="D63" i="37"/>
  <c r="D131" i="28" s="1"/>
  <c r="J71" i="33"/>
  <c r="D37" i="37"/>
  <c r="D73" i="28" s="1"/>
  <c r="I67" i="33"/>
  <c r="C33" i="37"/>
  <c r="C69" i="28" s="1"/>
  <c r="J72" i="33"/>
  <c r="D38" i="37"/>
  <c r="D74" i="28" s="1"/>
  <c r="P71" i="33"/>
  <c r="F63" i="37" s="1"/>
  <c r="F131" i="28" s="1"/>
  <c r="E63" i="37"/>
  <c r="E131" i="28" s="1"/>
  <c r="O67" i="33"/>
  <c r="D59" i="37"/>
  <c r="D127" i="28" s="1"/>
  <c r="O69" i="33"/>
  <c r="D61" i="37"/>
  <c r="D129" i="28" s="1"/>
  <c r="F35" i="34"/>
  <c r="O6" i="33"/>
  <c r="G29" i="34"/>
  <c r="K6" i="33"/>
  <c r="E66" i="33"/>
  <c r="J68" i="33"/>
  <c r="E34" i="37" s="1"/>
  <c r="E70" i="28" s="1"/>
  <c r="O68" i="33"/>
  <c r="E60" i="37" s="1"/>
  <c r="E128" i="28" s="1"/>
  <c r="E53" i="22"/>
  <c r="P72" i="33" l="1"/>
  <c r="F64" i="37" s="1"/>
  <c r="F132" i="28" s="1"/>
  <c r="E64" i="37"/>
  <c r="E132" i="28" s="1"/>
  <c r="K69" i="33"/>
  <c r="F35" i="37" s="1"/>
  <c r="F71" i="28" s="1"/>
  <c r="E35" i="37"/>
  <c r="E71" i="28" s="1"/>
  <c r="K72" i="33"/>
  <c r="F38" i="37" s="1"/>
  <c r="F74" i="28" s="1"/>
  <c r="E38" i="37"/>
  <c r="E74" i="28" s="1"/>
  <c r="J67" i="33"/>
  <c r="D33" i="37"/>
  <c r="D69" i="28" s="1"/>
  <c r="K71" i="33"/>
  <c r="F37" i="37" s="1"/>
  <c r="F73" i="28" s="1"/>
  <c r="E37" i="37"/>
  <c r="E73" i="28" s="1"/>
  <c r="O66" i="33"/>
  <c r="E58" i="37" s="1"/>
  <c r="E126" i="28" s="1"/>
  <c r="E7" i="37"/>
  <c r="E9" i="28" s="1"/>
  <c r="E16" i="28" s="1"/>
  <c r="J66" i="33"/>
  <c r="E32" i="37" s="1"/>
  <c r="E68" i="28" s="1"/>
  <c r="P69" i="33"/>
  <c r="F61" i="37" s="1"/>
  <c r="F129" i="28" s="1"/>
  <c r="E61" i="37"/>
  <c r="E129" i="28" s="1"/>
  <c r="P67" i="33"/>
  <c r="F59" i="37" s="1"/>
  <c r="F127" i="28" s="1"/>
  <c r="E59" i="37"/>
  <c r="E127" i="28" s="1"/>
  <c r="G35" i="34"/>
  <c r="P6" i="33"/>
  <c r="F66" i="33"/>
  <c r="K68" i="33"/>
  <c r="F34" i="37" s="1"/>
  <c r="F70" i="28" s="1"/>
  <c r="P68" i="33"/>
  <c r="F60" i="37" s="1"/>
  <c r="F128" i="28" s="1"/>
  <c r="F20" i="22"/>
  <c r="F29" i="22"/>
  <c r="P66" i="33" l="1"/>
  <c r="F58" i="37" s="1"/>
  <c r="F126" i="28" s="1"/>
  <c r="F133" i="28" s="1"/>
  <c r="F7" i="37"/>
  <c r="F9" i="28" s="1"/>
  <c r="F16" i="28" s="1"/>
  <c r="K66" i="33"/>
  <c r="F32" i="37" s="1"/>
  <c r="F68" i="28" s="1"/>
  <c r="K67" i="33"/>
  <c r="F33" i="37" s="1"/>
  <c r="F69" i="28" s="1"/>
  <c r="E33" i="37"/>
  <c r="E69" i="28" s="1"/>
  <c r="E75" i="28" s="1"/>
  <c r="E133" i="28"/>
  <c r="B66" i="33"/>
  <c r="F37" i="22"/>
  <c r="F75" i="28" l="1"/>
  <c r="L66" i="33"/>
  <c r="B58" i="37" s="1"/>
  <c r="B126" i="28" s="1"/>
  <c r="B133" i="28" s="1"/>
  <c r="B7" i="37"/>
  <c r="C36" i="21"/>
  <c r="G66" i="33"/>
  <c r="B32" i="37" s="1"/>
  <c r="C66" i="33"/>
  <c r="D66" i="33"/>
  <c r="F45" i="22"/>
  <c r="N66" i="33" l="1"/>
  <c r="D58" i="37" s="1"/>
  <c r="D126" i="28" s="1"/>
  <c r="D133" i="28" s="1"/>
  <c r="D7" i="37"/>
  <c r="D9" i="28" s="1"/>
  <c r="D16" i="28" s="1"/>
  <c r="I66" i="33"/>
  <c r="D32" i="37" s="1"/>
  <c r="D68" i="28" s="1"/>
  <c r="D75" i="28" s="1"/>
  <c r="H66" i="33"/>
  <c r="C32" i="37" s="1"/>
  <c r="C68" i="28" s="1"/>
  <c r="C75" i="28" s="1"/>
  <c r="C7" i="37"/>
  <c r="M66" i="33"/>
  <c r="C58" i="37" s="1"/>
  <c r="C126" i="28" s="1"/>
  <c r="C133" i="28" s="1"/>
  <c r="B68" i="28"/>
  <c r="B75" i="28" s="1"/>
  <c r="B39" i="37"/>
  <c r="B9" i="28"/>
  <c r="B16" i="28" s="1"/>
  <c r="B14" i="37"/>
  <c r="G64" i="33"/>
  <c r="B64" i="33"/>
  <c r="B76" i="33" s="1"/>
  <c r="C64" i="33"/>
  <c r="F53" i="22"/>
  <c r="C9" i="28" l="1"/>
  <c r="C16" i="28" s="1"/>
  <c r="C14" i="37"/>
  <c r="C43" i="21"/>
  <c r="C44" i="21" s="1"/>
  <c r="C59" i="21" s="1"/>
  <c r="L7" i="33" l="1"/>
  <c r="L63" i="33" s="1"/>
  <c r="H7" i="33"/>
  <c r="H63" i="33" s="1"/>
  <c r="H64" i="33" l="1"/>
  <c r="C31" i="37"/>
  <c r="L64" i="33"/>
  <c r="B57" i="37"/>
  <c r="M7" i="33"/>
  <c r="M63" i="33" s="1"/>
  <c r="D7" i="33"/>
  <c r="D63" i="33" s="1"/>
  <c r="I7" i="33"/>
  <c r="I63" i="33" s="1"/>
  <c r="C39" i="37" l="1"/>
  <c r="C65" i="28"/>
  <c r="B65" i="37"/>
  <c r="B123" i="28"/>
  <c r="I64" i="33"/>
  <c r="D31" i="37"/>
  <c r="M64" i="33"/>
  <c r="C57" i="37"/>
  <c r="D6" i="37"/>
  <c r="D64" i="33"/>
  <c r="E7" i="33"/>
  <c r="E63" i="33" s="1"/>
  <c r="J7" i="33"/>
  <c r="J63" i="33" s="1"/>
  <c r="N7" i="33"/>
  <c r="N63" i="33" s="1"/>
  <c r="D14" i="37" l="1"/>
  <c r="D6" i="28"/>
  <c r="C65" i="37"/>
  <c r="C123" i="28"/>
  <c r="D39" i="37"/>
  <c r="D65" i="28"/>
  <c r="J64" i="33"/>
  <c r="E31" i="37"/>
  <c r="N64" i="33"/>
  <c r="D57" i="37"/>
  <c r="E6" i="37"/>
  <c r="E64" i="33"/>
  <c r="O7" i="33"/>
  <c r="O63" i="33" s="1"/>
  <c r="E14" i="37" l="1"/>
  <c r="E6" i="28"/>
  <c r="D65" i="37"/>
  <c r="D123" i="28"/>
  <c r="E39" i="37"/>
  <c r="E65" i="28"/>
  <c r="O64" i="33"/>
  <c r="E57" i="37"/>
  <c r="F7" i="33"/>
  <c r="F63" i="33" s="1"/>
  <c r="K7" i="33"/>
  <c r="K63" i="33" s="1"/>
  <c r="E65" i="37" l="1"/>
  <c r="E123" i="28"/>
  <c r="K64" i="33"/>
  <c r="F31" i="37"/>
  <c r="P7" i="33"/>
  <c r="P63" i="33" s="1"/>
  <c r="F6" i="37"/>
  <c r="F64" i="33"/>
  <c r="B57" i="21"/>
  <c r="B7" i="36" s="1"/>
  <c r="F14" i="37" l="1"/>
  <c r="F6" i="28"/>
  <c r="F39" i="37"/>
  <c r="F65" i="28"/>
  <c r="P64" i="33"/>
  <c r="F57" i="37"/>
  <c r="F65" i="37" l="1"/>
  <c r="F123" i="28"/>
  <c r="F9" i="21" l="1"/>
  <c r="F4" i="21"/>
  <c r="I4" i="21" s="1"/>
  <c r="F5" i="21"/>
  <c r="F7" i="21" l="1"/>
  <c r="C52" i="21" s="1"/>
  <c r="I5" i="21"/>
  <c r="J5" i="21"/>
  <c r="L5" i="21"/>
  <c r="M5" i="21"/>
  <c r="K5" i="21"/>
  <c r="J4" i="21"/>
  <c r="K4" i="21"/>
  <c r="L4" i="21"/>
  <c r="M4" i="21"/>
  <c r="I9" i="21"/>
  <c r="J9" i="21"/>
  <c r="K9" i="21"/>
  <c r="L9" i="21"/>
  <c r="M9" i="21"/>
  <c r="C31" i="21"/>
  <c r="C57" i="21" s="1"/>
  <c r="C7" i="36" l="1"/>
  <c r="B10" i="27"/>
  <c r="B11" i="27" s="1"/>
  <c r="C10" i="27" l="1"/>
  <c r="C11" i="27" l="1"/>
  <c r="B74" i="33" s="1"/>
  <c r="B20" i="37" s="1"/>
  <c r="D10" i="27"/>
  <c r="F8" i="21"/>
  <c r="F12" i="21" s="1"/>
  <c r="F23" i="21" l="1"/>
  <c r="B14" i="27" s="1"/>
  <c r="C53" i="21"/>
  <c r="J8" i="21"/>
  <c r="J19" i="21" s="1"/>
  <c r="C4" i="27" s="1"/>
  <c r="K8" i="21"/>
  <c r="K19" i="21" s="1"/>
  <c r="D4" i="27" s="1"/>
  <c r="L8" i="21"/>
  <c r="L19" i="21" s="1"/>
  <c r="E4" i="27" s="1"/>
  <c r="M8" i="21"/>
  <c r="M19" i="21" s="1"/>
  <c r="F4" i="27" s="1"/>
  <c r="I8" i="21"/>
  <c r="I19" i="21" s="1"/>
  <c r="B4" i="27" s="1"/>
  <c r="L74" i="33"/>
  <c r="G74" i="33"/>
  <c r="D11" i="27"/>
  <c r="C74" i="33" s="1"/>
  <c r="E10" i="27"/>
  <c r="C3" i="36" l="1"/>
  <c r="C51" i="21"/>
  <c r="H74" i="33"/>
  <c r="B45" i="37"/>
  <c r="M74" i="33"/>
  <c r="B71" i="37"/>
  <c r="C2" i="36"/>
  <c r="C20" i="37"/>
  <c r="E11" i="27"/>
  <c r="D74" i="33" s="1"/>
  <c r="F10" i="27"/>
  <c r="N74" i="33" l="1"/>
  <c r="C71" i="37"/>
  <c r="I74" i="33"/>
  <c r="C45" i="37"/>
  <c r="D20" i="37"/>
  <c r="F11" i="27"/>
  <c r="E74" i="33" s="1"/>
  <c r="G10" i="27"/>
  <c r="J74" i="33" l="1"/>
  <c r="D45" i="37"/>
  <c r="O74" i="33"/>
  <c r="D71" i="37"/>
  <c r="E20" i="37"/>
  <c r="G11" i="27"/>
  <c r="F74" i="33" s="1"/>
  <c r="P74" i="33" l="1"/>
  <c r="F71" i="37" s="1"/>
  <c r="E71" i="37"/>
  <c r="K74" i="33"/>
  <c r="F45" i="37" s="1"/>
  <c r="E45" i="37"/>
  <c r="F20" i="37"/>
  <c r="B5" i="27" l="1"/>
  <c r="B73" i="33" s="1"/>
  <c r="B19" i="37" s="1"/>
  <c r="B20" i="28" s="1"/>
  <c r="B25" i="28" l="1"/>
  <c r="L73" i="33"/>
  <c r="B70" i="37" s="1"/>
  <c r="B137" i="28" s="1"/>
  <c r="B142" i="28" s="1"/>
  <c r="G73" i="33"/>
  <c r="B44" i="37" s="1"/>
  <c r="B79" i="28" s="1"/>
  <c r="B84" i="28" s="1"/>
  <c r="B75" i="33"/>
  <c r="C5" i="27"/>
  <c r="C73" i="33" s="1"/>
  <c r="C19" i="37" s="1"/>
  <c r="C20" i="28" s="1"/>
  <c r="C25" i="28" l="1"/>
  <c r="M73" i="33"/>
  <c r="C70" i="37" s="1"/>
  <c r="C137" i="28" s="1"/>
  <c r="C142" i="28" s="1"/>
  <c r="L75" i="33"/>
  <c r="L76" i="33" s="1"/>
  <c r="H73" i="33"/>
  <c r="C44" i="37" s="1"/>
  <c r="C79" i="28" s="1"/>
  <c r="C84" i="28" s="1"/>
  <c r="G75" i="33"/>
  <c r="G76" i="33" s="1"/>
  <c r="C75" i="33"/>
  <c r="D5" i="27"/>
  <c r="D73" i="33" s="1"/>
  <c r="D19" i="37" s="1"/>
  <c r="D20" i="28" s="1"/>
  <c r="B16" i="27"/>
  <c r="D25" i="28" l="1"/>
  <c r="C76" i="33"/>
  <c r="D75" i="33"/>
  <c r="I73" i="33"/>
  <c r="D44" i="37" s="1"/>
  <c r="D79" i="28" s="1"/>
  <c r="D84" i="28" s="1"/>
  <c r="H75" i="33"/>
  <c r="H76" i="33" s="1"/>
  <c r="N73" i="33"/>
  <c r="D70" i="37" s="1"/>
  <c r="D137" i="28" s="1"/>
  <c r="D142" i="28" s="1"/>
  <c r="M75" i="33"/>
  <c r="M76" i="33" s="1"/>
  <c r="E5" i="27"/>
  <c r="E73" i="33" s="1"/>
  <c r="E19" i="37" s="1"/>
  <c r="E20" i="28" s="1"/>
  <c r="B17" i="27"/>
  <c r="E25" i="28" l="1"/>
  <c r="D76" i="33"/>
  <c r="E75" i="33"/>
  <c r="O73" i="33"/>
  <c r="E70" i="37" s="1"/>
  <c r="E137" i="28" s="1"/>
  <c r="E142" i="28" s="1"/>
  <c r="N75" i="33"/>
  <c r="N76" i="33" s="1"/>
  <c r="J73" i="33"/>
  <c r="E44" i="37" s="1"/>
  <c r="E79" i="28" s="1"/>
  <c r="E84" i="28" s="1"/>
  <c r="I75" i="33"/>
  <c r="I76" i="33" s="1"/>
  <c r="F5" i="27"/>
  <c r="F73" i="33" s="1"/>
  <c r="F19" i="37" s="1"/>
  <c r="F20" i="28" s="1"/>
  <c r="B18" i="27"/>
  <c r="F25" i="28" l="1"/>
  <c r="E76" i="33"/>
  <c r="F75" i="33"/>
  <c r="K73" i="33"/>
  <c r="J75" i="33"/>
  <c r="J76" i="33" s="1"/>
  <c r="P73" i="33"/>
  <c r="O75" i="33"/>
  <c r="O76" i="33" s="1"/>
  <c r="B19" i="27"/>
  <c r="B20" i="27" s="1"/>
  <c r="B21" i="27" s="1"/>
  <c r="P75" i="33" l="1"/>
  <c r="P76" i="33" s="1"/>
  <c r="F70" i="37"/>
  <c r="F137" i="28" s="1"/>
  <c r="F142" i="28" s="1"/>
  <c r="K75" i="33"/>
  <c r="K76" i="33" s="1"/>
  <c r="F44" i="37"/>
  <c r="F79" i="28" s="1"/>
  <c r="F84" i="28" s="1"/>
  <c r="F76" i="33"/>
  <c r="C8" i="36" l="1"/>
  <c r="C9" i="36" l="1"/>
  <c r="C58" i="21"/>
  <c r="D8" i="36" l="1"/>
  <c r="B150" i="28"/>
  <c r="B92" i="28"/>
  <c r="D2" i="36"/>
  <c r="C10" i="36"/>
  <c r="D10" i="36" s="1"/>
  <c r="C60" i="21"/>
  <c r="D51" i="21" s="1"/>
  <c r="D9" i="36" l="1"/>
  <c r="C19" i="36"/>
  <c r="F18" i="36"/>
  <c r="B33" i="28"/>
  <c r="B43" i="28"/>
  <c r="D58" i="21"/>
  <c r="B53" i="28" l="1"/>
  <c r="C43" i="28"/>
  <c r="D19" i="36"/>
  <c r="E19" i="36" s="1"/>
  <c r="C17" i="37"/>
  <c r="D60" i="21"/>
  <c r="C42" i="37" l="1"/>
  <c r="C68" i="37"/>
  <c r="C18" i="37"/>
  <c r="C19" i="28"/>
  <c r="C27" i="28" s="1"/>
  <c r="F19" i="36"/>
  <c r="C69" i="37" l="1"/>
  <c r="C136" i="28"/>
  <c r="C78" i="28"/>
  <c r="C43" i="37"/>
  <c r="C20" i="36"/>
  <c r="B160" i="28"/>
  <c r="B102" i="28"/>
  <c r="C144" i="28" l="1"/>
  <c r="C86" i="28"/>
  <c r="D20" i="36"/>
  <c r="E20" i="36" s="1"/>
  <c r="D17" i="37"/>
  <c r="D42" i="37" l="1"/>
  <c r="D68" i="37"/>
  <c r="D18" i="37"/>
  <c r="D19" i="28"/>
  <c r="D27" i="28" s="1"/>
  <c r="C21" i="36"/>
  <c r="F20" i="36"/>
  <c r="D69" i="37" l="1"/>
  <c r="D136" i="28"/>
  <c r="D78" i="28"/>
  <c r="D43" i="37"/>
  <c r="D21" i="36"/>
  <c r="E17" i="37"/>
  <c r="E21" i="36" l="1"/>
  <c r="E42" i="37"/>
  <c r="E68" i="37"/>
  <c r="D86" i="28"/>
  <c r="D144" i="28"/>
  <c r="E18" i="37"/>
  <c r="E19" i="28"/>
  <c r="E27" i="28" s="1"/>
  <c r="F21" i="36"/>
  <c r="C22" i="36" l="1"/>
  <c r="E136" i="28"/>
  <c r="E69" i="37"/>
  <c r="E78" i="28"/>
  <c r="E43" i="37"/>
  <c r="F17" i="37" l="1"/>
  <c r="D22" i="36"/>
  <c r="F22" i="36" s="1"/>
  <c r="E86" i="28"/>
  <c r="E144" i="28"/>
  <c r="E22" i="36" l="1"/>
  <c r="F18" i="37"/>
  <c r="F19" i="28"/>
  <c r="F27" i="28" s="1"/>
  <c r="F42" i="37"/>
  <c r="F68" i="37"/>
  <c r="C36" i="34"/>
  <c r="B55" i="37" s="1"/>
  <c r="D36" i="34"/>
  <c r="C55" i="37" s="1"/>
  <c r="E36" i="34"/>
  <c r="D55" i="37" s="1"/>
  <c r="F36" i="34"/>
  <c r="E55" i="37" s="1"/>
  <c r="G36" i="34"/>
  <c r="F55" i="37" s="1"/>
  <c r="E24" i="34"/>
  <c r="C24" i="34"/>
  <c r="D24" i="34"/>
  <c r="F24" i="34"/>
  <c r="G24" i="34"/>
  <c r="C30" i="34"/>
  <c r="B29" i="37" s="1"/>
  <c r="D30" i="34"/>
  <c r="C29" i="37" s="1"/>
  <c r="E30" i="34"/>
  <c r="D29" i="37" s="1"/>
  <c r="F30" i="34"/>
  <c r="E29" i="37" s="1"/>
  <c r="G30" i="34"/>
  <c r="F29" i="37" s="1"/>
  <c r="F136" i="28" l="1"/>
  <c r="F144" i="28" s="1"/>
  <c r="F69" i="37"/>
  <c r="F43" i="37"/>
  <c r="F78" i="28"/>
  <c r="F86" i="28" s="1"/>
  <c r="C23" i="36"/>
  <c r="D23" i="36" s="1"/>
  <c r="F66" i="37"/>
  <c r="F72" i="37" s="1"/>
  <c r="F73" i="37" s="1"/>
  <c r="F74" i="37" s="1"/>
  <c r="F138" i="28" s="1"/>
  <c r="F122" i="28"/>
  <c r="F124" i="28" s="1"/>
  <c r="F134" i="28" s="1"/>
  <c r="D40" i="37"/>
  <c r="D46" i="37" s="1"/>
  <c r="D47" i="37" s="1"/>
  <c r="D48" i="37" s="1"/>
  <c r="D64" i="28"/>
  <c r="D66" i="28" s="1"/>
  <c r="D76" i="28" s="1"/>
  <c r="B66" i="37"/>
  <c r="B72" i="37" s="1"/>
  <c r="B73" i="37" s="1"/>
  <c r="B74" i="37" s="1"/>
  <c r="B138" i="28" s="1"/>
  <c r="B122" i="28"/>
  <c r="B124" i="28" s="1"/>
  <c r="B134" i="28" s="1"/>
  <c r="C40" i="37"/>
  <c r="C46" i="37" s="1"/>
  <c r="C47" i="37" s="1"/>
  <c r="C48" i="37" s="1"/>
  <c r="C80" i="28" s="1"/>
  <c r="C64" i="28"/>
  <c r="C66" i="28" s="1"/>
  <c r="C76" i="28" s="1"/>
  <c r="B40" i="37"/>
  <c r="B46" i="37" s="1"/>
  <c r="B47" i="37" s="1"/>
  <c r="B48" i="37" s="1"/>
  <c r="B80" i="28" s="1"/>
  <c r="B64" i="28"/>
  <c r="B66" i="28" s="1"/>
  <c r="B76" i="28" s="1"/>
  <c r="E66" i="37"/>
  <c r="E72" i="37" s="1"/>
  <c r="E73" i="37" s="1"/>
  <c r="E74" i="37" s="1"/>
  <c r="E138" i="28" s="1"/>
  <c r="E122" i="28"/>
  <c r="E124" i="28" s="1"/>
  <c r="E134" i="28" s="1"/>
  <c r="C66" i="37"/>
  <c r="C72" i="37" s="1"/>
  <c r="C73" i="37" s="1"/>
  <c r="C74" i="37" s="1"/>
  <c r="C138" i="28" s="1"/>
  <c r="C122" i="28"/>
  <c r="C124" i="28" s="1"/>
  <c r="C134" i="28" s="1"/>
  <c r="D66" i="37"/>
  <c r="D72" i="37" s="1"/>
  <c r="D73" i="37" s="1"/>
  <c r="D74" i="37" s="1"/>
  <c r="D138" i="28" s="1"/>
  <c r="D122" i="28"/>
  <c r="D124" i="28" s="1"/>
  <c r="D134" i="28" s="1"/>
  <c r="F40" i="37"/>
  <c r="F46" i="37" s="1"/>
  <c r="F47" i="37" s="1"/>
  <c r="F48" i="37" s="1"/>
  <c r="F80" i="28" s="1"/>
  <c r="F64" i="28"/>
  <c r="F66" i="28" s="1"/>
  <c r="F76" i="28" s="1"/>
  <c r="E40" i="37"/>
  <c r="E46" i="37" s="1"/>
  <c r="E47" i="37" s="1"/>
  <c r="E48" i="37" s="1"/>
  <c r="E80" i="28" s="1"/>
  <c r="E64" i="28"/>
  <c r="E66" i="28" s="1"/>
  <c r="E76" i="28" s="1"/>
  <c r="F4" i="37"/>
  <c r="F5" i="28" s="1"/>
  <c r="C4" i="37"/>
  <c r="C5" i="28" s="1"/>
  <c r="E4" i="37"/>
  <c r="E5" i="28" s="1"/>
  <c r="B4" i="37"/>
  <c r="B5" i="28" s="1"/>
  <c r="D4" i="37"/>
  <c r="D5" i="28" s="1"/>
  <c r="E23" i="36" l="1"/>
  <c r="F23" i="36"/>
  <c r="C24" i="36"/>
  <c r="D24" i="36" s="1"/>
  <c r="F75" i="37"/>
  <c r="G75" i="37" s="1"/>
  <c r="E49" i="37"/>
  <c r="E75" i="37"/>
  <c r="F49" i="37"/>
  <c r="B49" i="37"/>
  <c r="B75" i="37"/>
  <c r="C141" i="28"/>
  <c r="C135" i="28"/>
  <c r="C139" i="28" s="1"/>
  <c r="C143" i="28" s="1"/>
  <c r="C145" i="28" s="1"/>
  <c r="B152" i="28" s="1"/>
  <c r="B162" i="28" s="1"/>
  <c r="B135" i="28"/>
  <c r="B139" i="28" s="1"/>
  <c r="B143" i="28" s="1"/>
  <c r="B141" i="28"/>
  <c r="D135" i="28"/>
  <c r="D139" i="28" s="1"/>
  <c r="D143" i="28" s="1"/>
  <c r="D141" i="28"/>
  <c r="E83" i="28"/>
  <c r="E77" i="28"/>
  <c r="E81" i="28" s="1"/>
  <c r="E85" i="28" s="1"/>
  <c r="E141" i="28"/>
  <c r="E135" i="28"/>
  <c r="E139" i="28" s="1"/>
  <c r="E143" i="28" s="1"/>
  <c r="E145" i="28" s="1"/>
  <c r="B154" i="28" s="1"/>
  <c r="B164" i="28" s="1"/>
  <c r="D77" i="28"/>
  <c r="D83" i="28"/>
  <c r="C77" i="28"/>
  <c r="C81" i="28" s="1"/>
  <c r="C85" i="28" s="1"/>
  <c r="C83" i="28"/>
  <c r="C49" i="37"/>
  <c r="F77" i="28"/>
  <c r="F81" i="28" s="1"/>
  <c r="F85" i="28" s="1"/>
  <c r="F83" i="28"/>
  <c r="B83" i="28"/>
  <c r="B77" i="28"/>
  <c r="B81" i="28" s="1"/>
  <c r="B85" i="28" s="1"/>
  <c r="B87" i="28" s="1"/>
  <c r="B93" i="28" s="1"/>
  <c r="B103" i="28" s="1"/>
  <c r="F135" i="28"/>
  <c r="F139" i="28" s="1"/>
  <c r="F143" i="28" s="1"/>
  <c r="F141" i="28"/>
  <c r="D75" i="37"/>
  <c r="C75" i="37"/>
  <c r="D49" i="37"/>
  <c r="D80" i="28"/>
  <c r="E7" i="28"/>
  <c r="E17" i="28" s="1"/>
  <c r="D7" i="28"/>
  <c r="D17" i="28" s="1"/>
  <c r="B7" i="28"/>
  <c r="B17" i="28" s="1"/>
  <c r="B18" i="28" s="1"/>
  <c r="C7" i="28"/>
  <c r="C17" i="28" s="1"/>
  <c r="F7" i="28"/>
  <c r="F17" i="28" s="1"/>
  <c r="F24" i="36" l="1"/>
  <c r="E24" i="36"/>
  <c r="C87" i="28"/>
  <c r="B94" i="28" s="1"/>
  <c r="B104" i="28" s="1"/>
  <c r="E87" i="28"/>
  <c r="B96" i="28" s="1"/>
  <c r="B106" i="28" s="1"/>
  <c r="B145" i="28"/>
  <c r="B151" i="28" s="1"/>
  <c r="B161" i="28" s="1"/>
  <c r="D145" i="28"/>
  <c r="B153" i="28" s="1"/>
  <c r="B163" i="28" s="1"/>
  <c r="F145" i="28"/>
  <c r="B155" i="28" s="1"/>
  <c r="B165" i="28" s="1"/>
  <c r="F87" i="28"/>
  <c r="B97" i="28" s="1"/>
  <c r="B107" i="28" s="1"/>
  <c r="D81" i="28"/>
  <c r="D85" i="28" s="1"/>
  <c r="D87" i="28" s="1"/>
  <c r="B95" i="28" s="1"/>
  <c r="B105" i="28" s="1"/>
  <c r="B24" i="28"/>
  <c r="F24" i="28"/>
  <c r="F18" i="28"/>
  <c r="C18" i="28"/>
  <c r="C24" i="28"/>
  <c r="D18" i="28"/>
  <c r="D24" i="28"/>
  <c r="E24" i="28"/>
  <c r="E18" i="28"/>
  <c r="B108" i="28" l="1"/>
  <c r="C25" i="36"/>
  <c r="D25" i="36" s="1"/>
  <c r="F25" i="36" s="1"/>
  <c r="B166" i="28"/>
  <c r="C97" i="28"/>
  <c r="D97" i="28" s="1"/>
  <c r="C96" i="28"/>
  <c r="D96" i="28" s="1"/>
  <c r="B114" i="28" s="1"/>
  <c r="C93" i="28"/>
  <c r="D93" i="28" s="1"/>
  <c r="C92" i="28"/>
  <c r="D92" i="28" s="1"/>
  <c r="C95" i="28"/>
  <c r="D95" i="28" s="1"/>
  <c r="C94" i="28"/>
  <c r="D94" i="28" s="1"/>
  <c r="C152" i="28"/>
  <c r="D152" i="28" s="1"/>
  <c r="C154" i="28"/>
  <c r="D154" i="28" s="1"/>
  <c r="C151" i="28"/>
  <c r="D151" i="28" s="1"/>
  <c r="C153" i="28"/>
  <c r="D153" i="28" s="1"/>
  <c r="C155" i="28"/>
  <c r="D155" i="28" s="1"/>
  <c r="C37" i="28"/>
  <c r="C34" i="28"/>
  <c r="C38" i="28"/>
  <c r="C150" i="28"/>
  <c r="D150" i="28" s="1"/>
  <c r="C33" i="28"/>
  <c r="D33" i="28" s="1"/>
  <c r="C36" i="28"/>
  <c r="C35" i="28"/>
  <c r="E25" i="36" l="1"/>
  <c r="B113" i="28"/>
  <c r="B115" i="28" s="1"/>
  <c r="B172" i="28"/>
  <c r="B171" i="28"/>
  <c r="E92" i="28"/>
  <c r="E93" i="28" s="1"/>
  <c r="E94" i="28" s="1"/>
  <c r="E95" i="28" s="1"/>
  <c r="E96" i="28" s="1"/>
  <c r="E97" i="28" s="1"/>
  <c r="D98" i="28"/>
  <c r="E150" i="28"/>
  <c r="E151" i="28" s="1"/>
  <c r="E152" i="28" s="1"/>
  <c r="E153" i="28" s="1"/>
  <c r="E154" i="28" s="1"/>
  <c r="E155" i="28" s="1"/>
  <c r="D156" i="28"/>
  <c r="E33" i="28"/>
  <c r="C26" i="36" l="1"/>
  <c r="D26" i="36" s="1"/>
  <c r="B173" i="28"/>
  <c r="B15" i="37"/>
  <c r="E26" i="36" l="1"/>
  <c r="F26" i="36"/>
  <c r="C27" i="36"/>
  <c r="D27" i="36" s="1"/>
  <c r="E27" i="36" s="1"/>
  <c r="B21" i="37"/>
  <c r="F27" i="36" l="1"/>
  <c r="B22" i="37"/>
  <c r="B23" i="37" s="1"/>
  <c r="B21" i="28" l="1"/>
  <c r="B22" i="28" s="1"/>
  <c r="B24" i="37"/>
  <c r="B26" i="28" l="1"/>
  <c r="B28" i="28" s="1"/>
  <c r="E15" i="37"/>
  <c r="D15" i="37"/>
  <c r="C15" i="37"/>
  <c r="F15" i="37"/>
  <c r="B34" i="28" l="1"/>
  <c r="B44" i="28" s="1"/>
  <c r="F21" i="37"/>
  <c r="F22" i="37" s="1"/>
  <c r="F23" i="37" s="1"/>
  <c r="F21" i="28" s="1"/>
  <c r="F22" i="28" s="1"/>
  <c r="F26" i="28" s="1"/>
  <c r="E21" i="37"/>
  <c r="E22" i="37" s="1"/>
  <c r="E23" i="37" s="1"/>
  <c r="E21" i="28" s="1"/>
  <c r="E22" i="28" s="1"/>
  <c r="E26" i="28" s="1"/>
  <c r="D21" i="37"/>
  <c r="D22" i="37" s="1"/>
  <c r="D23" i="37" s="1"/>
  <c r="D21" i="28" s="1"/>
  <c r="D22" i="28" s="1"/>
  <c r="D26" i="28" s="1"/>
  <c r="C21" i="37"/>
  <c r="C22" i="37" s="1"/>
  <c r="C23" i="37" s="1"/>
  <c r="C21" i="28" s="1"/>
  <c r="C22" i="28" s="1"/>
  <c r="C26" i="28" s="1"/>
  <c r="C28" i="28" s="1"/>
  <c r="C44" i="28" l="1"/>
  <c r="D34" i="28"/>
  <c r="E34" i="28" s="1"/>
  <c r="F24" i="37"/>
  <c r="B35" i="28"/>
  <c r="B45" i="28" s="1"/>
  <c r="C24" i="37"/>
  <c r="D24" i="37"/>
  <c r="D28" i="28"/>
  <c r="E24" i="37"/>
  <c r="D35" i="28" l="1"/>
  <c r="E35" i="28" s="1"/>
  <c r="E28" i="28"/>
  <c r="B36" i="28"/>
  <c r="D36" i="28" s="1"/>
  <c r="C45" i="28"/>
  <c r="F28" i="28" l="1"/>
  <c r="B38" i="28" s="1"/>
  <c r="B48" i="28" s="1"/>
  <c r="B37" i="28"/>
  <c r="B47" i="28" s="1"/>
  <c r="B46" i="28"/>
  <c r="B54" i="28"/>
  <c r="E36" i="28"/>
  <c r="B55" i="28" l="1"/>
  <c r="B56" i="28" s="1"/>
  <c r="B49" i="28"/>
  <c r="D37" i="28"/>
  <c r="E37" i="28" s="1"/>
  <c r="D38" i="28"/>
  <c r="C46" i="28"/>
  <c r="C47" i="28" s="1"/>
  <c r="C48" i="28" s="1"/>
  <c r="B58" i="28" l="1"/>
  <c r="B59" i="28" s="1"/>
  <c r="D39" i="28"/>
  <c r="E38" i="28"/>
</calcChain>
</file>

<file path=xl/sharedStrings.xml><?xml version="1.0" encoding="utf-8"?>
<sst xmlns="http://schemas.openxmlformats.org/spreadsheetml/2006/main" count="678" uniqueCount="227">
  <si>
    <t>TOTAL</t>
  </si>
  <si>
    <t>unidad</t>
  </si>
  <si>
    <t>Gerente general</t>
  </si>
  <si>
    <t>SUPUESTOS</t>
  </si>
  <si>
    <t xml:space="preserve">Gastos servicios básicos </t>
  </si>
  <si>
    <t xml:space="preserve">Gasto suministros de oficina </t>
  </si>
  <si>
    <t>Total</t>
  </si>
  <si>
    <t>Capital de trabajo</t>
  </si>
  <si>
    <t>Depreciaciones</t>
  </si>
  <si>
    <t>Amortizaciones</t>
  </si>
  <si>
    <t>FA</t>
  </si>
  <si>
    <t>TIR</t>
  </si>
  <si>
    <t>ACTIVO NO CORRIENTE</t>
  </si>
  <si>
    <t>ACTIVO CORRIENTE</t>
  </si>
  <si>
    <t>Activos intangibles</t>
  </si>
  <si>
    <t xml:space="preserve">ESTADO DE FLUJOS DE EFECTIVO </t>
  </si>
  <si>
    <t>Anual</t>
  </si>
  <si>
    <t>Unidad</t>
  </si>
  <si>
    <t>Adm</t>
  </si>
  <si>
    <t>Gasto servicios de terceros</t>
  </si>
  <si>
    <t>FN</t>
  </si>
  <si>
    <t>FNA</t>
  </si>
  <si>
    <t>FNAA</t>
  </si>
  <si>
    <t xml:space="preserve">Subtotal fijo </t>
  </si>
  <si>
    <t>Descripción</t>
  </si>
  <si>
    <t>Unidad de Medida</t>
  </si>
  <si>
    <t>Cantidad</t>
  </si>
  <si>
    <t>Valor</t>
  </si>
  <si>
    <t>Escritorios ejecutivos</t>
  </si>
  <si>
    <t>Equipos Tecnológicos</t>
  </si>
  <si>
    <t>Computador de escritorio / Desktop</t>
  </si>
  <si>
    <t>Estudios preliminares</t>
  </si>
  <si>
    <t>Cargo</t>
  </si>
  <si>
    <t>Sueldo</t>
  </si>
  <si>
    <t>Personal</t>
  </si>
  <si>
    <t>Día</t>
  </si>
  <si>
    <t>Año 1</t>
  </si>
  <si>
    <t>Salario</t>
  </si>
  <si>
    <t>Año 2</t>
  </si>
  <si>
    <t>Año 3</t>
  </si>
  <si>
    <t>Año 4</t>
  </si>
  <si>
    <t>Año 5</t>
  </si>
  <si>
    <t>Administrativo</t>
  </si>
  <si>
    <t>Producción</t>
  </si>
  <si>
    <t>Resumen de Sueldo y Salarios</t>
  </si>
  <si>
    <t>Área</t>
  </si>
  <si>
    <t>Mensual</t>
  </si>
  <si>
    <t>Concepto</t>
  </si>
  <si>
    <t>Precio</t>
  </si>
  <si>
    <t>Esperado</t>
  </si>
  <si>
    <t>Optimista</t>
  </si>
  <si>
    <t>Pesimista</t>
  </si>
  <si>
    <t>Consumo</t>
  </si>
  <si>
    <t>Servicio de luz eléctrica (Kw)</t>
  </si>
  <si>
    <t>Servicio de agua potable (m3)</t>
  </si>
  <si>
    <t>Servicio de internet (Planes)</t>
  </si>
  <si>
    <t>Suministro de Oficina</t>
  </si>
  <si>
    <t>Publicidad y Promoción</t>
  </si>
  <si>
    <t>Redes sociales (Plan)</t>
  </si>
  <si>
    <t>Costos Variable</t>
  </si>
  <si>
    <t>Subtotal</t>
  </si>
  <si>
    <t>Costos Fijos</t>
  </si>
  <si>
    <t>Gastos de publicidad</t>
  </si>
  <si>
    <t>Inflación</t>
  </si>
  <si>
    <t>Capital de Trabajo</t>
  </si>
  <si>
    <t>Valor Anual</t>
  </si>
  <si>
    <t>Inversión Inicial</t>
  </si>
  <si>
    <t>Porcentaje</t>
  </si>
  <si>
    <t>Activos</t>
  </si>
  <si>
    <t>Resumen de Depreciaciones</t>
  </si>
  <si>
    <t>Valor Residual</t>
  </si>
  <si>
    <t>Activos Fijos</t>
  </si>
  <si>
    <t>Depresiación de Año 1</t>
  </si>
  <si>
    <t>Depresiación de Año 2</t>
  </si>
  <si>
    <t>Depresiación de Año 3</t>
  </si>
  <si>
    <t>Depresiación de Año 4</t>
  </si>
  <si>
    <t>Depresiación de Año 5</t>
  </si>
  <si>
    <t>Total de Depresiación</t>
  </si>
  <si>
    <t>Año 0</t>
  </si>
  <si>
    <t>Flujos Actualizados</t>
  </si>
  <si>
    <t>Tasa Descuento</t>
  </si>
  <si>
    <t>Año</t>
  </si>
  <si>
    <t>Recuperación de Inversión</t>
  </si>
  <si>
    <t>Gastos de arriendo</t>
  </si>
  <si>
    <t>Servicios Básicos</t>
  </si>
  <si>
    <t>Intangibles</t>
  </si>
  <si>
    <t>Sillas oficina</t>
  </si>
  <si>
    <t>Conservador</t>
  </si>
  <si>
    <t>Ingresos Servicios</t>
  </si>
  <si>
    <t>Tasa de Inflación</t>
  </si>
  <si>
    <t>Año anterior inmediato</t>
  </si>
  <si>
    <t>Inversión inicial</t>
  </si>
  <si>
    <t>Suma de lo flujos de efectivo anteriores</t>
  </si>
  <si>
    <t>Flujo efectivo del año en que se satisface la inversión</t>
  </si>
  <si>
    <t>Periodo de Recuperación</t>
  </si>
  <si>
    <t>Incremento de sueldos</t>
  </si>
  <si>
    <t>Constitución</t>
  </si>
  <si>
    <t>Servicios de Terceros</t>
  </si>
  <si>
    <t>Folder Carpeta</t>
  </si>
  <si>
    <t>Boligrafos (Paq)</t>
  </si>
  <si>
    <t>Población Adulta</t>
  </si>
  <si>
    <t>Frecuencia de Consumo</t>
  </si>
  <si>
    <t>Artículos</t>
  </si>
  <si>
    <t>Servicios</t>
  </si>
  <si>
    <t>Capacidad de Atención</t>
  </si>
  <si>
    <t xml:space="preserve">Crecimiento </t>
  </si>
  <si>
    <t>Costo Total</t>
  </si>
  <si>
    <t>Costo Mensual</t>
  </si>
  <si>
    <t>Meses Requeridos</t>
  </si>
  <si>
    <t>Alquiler</t>
  </si>
  <si>
    <t>Archiveros</t>
  </si>
  <si>
    <t>Operador de Servicios</t>
  </si>
  <si>
    <t>Operador de Atención al cliente</t>
  </si>
  <si>
    <t>Resma de hoja A4 (Paq)</t>
  </si>
  <si>
    <t>Sobres de hojas (Paq)</t>
  </si>
  <si>
    <t>Buscadores web</t>
  </si>
  <si>
    <t>Tasa de Interes</t>
  </si>
  <si>
    <t>Formularios</t>
  </si>
  <si>
    <t>Sueldos y Salarios</t>
  </si>
  <si>
    <t>Gastos de alquiler</t>
  </si>
  <si>
    <t>Suministros</t>
  </si>
  <si>
    <t>Publicidad</t>
  </si>
  <si>
    <t>Días desfase</t>
  </si>
  <si>
    <t>Aspecto</t>
  </si>
  <si>
    <t>Activos No Corrientes</t>
  </si>
  <si>
    <t>Activos Corrientes</t>
  </si>
  <si>
    <t>Amortización</t>
  </si>
  <si>
    <t>Financiamiento</t>
  </si>
  <si>
    <t>Tasa Anual</t>
  </si>
  <si>
    <t>Plazos</t>
  </si>
  <si>
    <t>Cuotas</t>
  </si>
  <si>
    <t>Interés</t>
  </si>
  <si>
    <t>Capital</t>
  </si>
  <si>
    <t>Gastos de terceros</t>
  </si>
  <si>
    <t>ESPERADO</t>
  </si>
  <si>
    <t>INGRESOS</t>
  </si>
  <si>
    <t>Ingreso por venta</t>
  </si>
  <si>
    <t>GASTOS</t>
  </si>
  <si>
    <t>Gasto de Personal</t>
  </si>
  <si>
    <t>Gastos de Alquiler</t>
  </si>
  <si>
    <t>Gastos de Servicios</t>
  </si>
  <si>
    <t>Publicidad y promoción</t>
  </si>
  <si>
    <t>Depreciación</t>
  </si>
  <si>
    <t>Total Gastos</t>
  </si>
  <si>
    <t>Resultados de Explotación</t>
  </si>
  <si>
    <t>Ingresos Financieros</t>
  </si>
  <si>
    <t>Gastos Financieros</t>
  </si>
  <si>
    <t>Resultados Financieros</t>
  </si>
  <si>
    <t>Resultados antes Impuestos</t>
  </si>
  <si>
    <t>Impuestos sobre beneficios</t>
  </si>
  <si>
    <t>Resultados del Ejercicio</t>
  </si>
  <si>
    <t>PESIMISTA</t>
  </si>
  <si>
    <t>Participación de Trabajadores</t>
  </si>
  <si>
    <t>Gastos de Terceros</t>
  </si>
  <si>
    <t>Gasto de personal</t>
  </si>
  <si>
    <t>Años</t>
  </si>
  <si>
    <t>Meses</t>
  </si>
  <si>
    <t>Días</t>
  </si>
  <si>
    <t>Periodos</t>
  </si>
  <si>
    <t>Capital Amortizado</t>
  </si>
  <si>
    <t>Cuota</t>
  </si>
  <si>
    <t>(+) VENTAS</t>
  </si>
  <si>
    <t>(-) GASTOS</t>
  </si>
  <si>
    <t>Asistente de Farmacia</t>
  </si>
  <si>
    <t>Salario Básico Unificado</t>
  </si>
  <si>
    <t>Farmacéutico</t>
  </si>
  <si>
    <t>Sección</t>
  </si>
  <si>
    <t>Computadora portátil / Notebook</t>
  </si>
  <si>
    <t>Equipos de Oficina</t>
  </si>
  <si>
    <t>Impresora Térmica </t>
  </si>
  <si>
    <t>Impresora Simple</t>
  </si>
  <si>
    <t>Equipos de Local</t>
  </si>
  <si>
    <t>Camilla Diván</t>
  </si>
  <si>
    <t>Equipos de enfermería</t>
  </si>
  <si>
    <t>Almacenamiento y Dispensación</t>
  </si>
  <si>
    <t>Robot Inteligente</t>
  </si>
  <si>
    <t>Sistema Inteligente de Almacenamiento y Dispensación</t>
  </si>
  <si>
    <t>Página web / Tienda Virtual</t>
  </si>
  <si>
    <t>Sistema Administrativo y Facturación</t>
  </si>
  <si>
    <t>Tipo</t>
  </si>
  <si>
    <t>Población en Bucaramanga</t>
  </si>
  <si>
    <t>Consumidores Habituales</t>
  </si>
  <si>
    <t>Costo</t>
  </si>
  <si>
    <t>OPTIMISTA</t>
  </si>
  <si>
    <t>Arriendo de Local</t>
  </si>
  <si>
    <t>Soporte y Mantenimiento de Página Web</t>
  </si>
  <si>
    <t>Limpieza de Local</t>
  </si>
  <si>
    <t>Suministro de Farmacia</t>
  </si>
  <si>
    <t>Jeringas (100 unid)</t>
  </si>
  <si>
    <t>Alcohol Antiseptico</t>
  </si>
  <si>
    <t>Gasas (200 unid)</t>
  </si>
  <si>
    <t>Algodón</t>
  </si>
  <si>
    <t>Agua Oxigenada</t>
  </si>
  <si>
    <t>Oxigeno</t>
  </si>
  <si>
    <t>Curas Nexcare (100 unid)</t>
  </si>
  <si>
    <t>Bolsas plasticas (200unid)</t>
  </si>
  <si>
    <t>Jabon liquido</t>
  </si>
  <si>
    <t>Gel antibacterial</t>
  </si>
  <si>
    <t>Lysol desinfectante</t>
  </si>
  <si>
    <t>Glutaraldehido</t>
  </si>
  <si>
    <t>Costo de Aprovisionamiento</t>
  </si>
  <si>
    <t>Gastos de personal</t>
  </si>
  <si>
    <t>Gastos de suministros de farmacia</t>
  </si>
  <si>
    <t>Suministros Oficina</t>
  </si>
  <si>
    <t>Suministros de Farmacia</t>
  </si>
  <si>
    <t>Costos de Aprovisionamiento</t>
  </si>
  <si>
    <t>Costo de aprovisionamiento</t>
  </si>
  <si>
    <t>(+) Ingresos por venta</t>
  </si>
  <si>
    <t>(-) Costes de aprovisionamiento</t>
  </si>
  <si>
    <t>UTILIDAD BRUTA</t>
  </si>
  <si>
    <t>UTILIDAD OPERACIONAL</t>
  </si>
  <si>
    <t>TOTAL GASTOS</t>
  </si>
  <si>
    <t>(-) Amortizaciones y Depreciaciones</t>
  </si>
  <si>
    <t>(-) Gastos financieros</t>
  </si>
  <si>
    <t>(-) Impuesto</t>
  </si>
  <si>
    <t>(-) Participación trabajadores</t>
  </si>
  <si>
    <t>UTILIDAD DE EJERCICIO</t>
  </si>
  <si>
    <t>(-) Dividendos</t>
  </si>
  <si>
    <t>(-) Devolución del préstamo</t>
  </si>
  <si>
    <t>(+) Amortizaciones y Depreciaciones</t>
  </si>
  <si>
    <t>BENEFICIO OPERACIONAL</t>
  </si>
  <si>
    <t>FLUJO DE EFECTIVO</t>
  </si>
  <si>
    <t>Constitución de la farmacia</t>
  </si>
  <si>
    <t>Vitrinas y mostrador</t>
  </si>
  <si>
    <t xml:space="preserve">Inventario </t>
  </si>
  <si>
    <t xml:space="preserve">Base de datos inventario total </t>
  </si>
  <si>
    <t>Rotación de Inv. Por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</si>
</sst>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\ * #,##0.00_-;\-&quot;$&quot;\ * #,##0.00_-;_-&quot;$&quot;\ * &quot;-&quot;??_-;_-@_-"/>
    <numFmt numFmtId="164" formatCode="_ &quot;$&quot;* #,##0.00_ ;_ &quot;$&quot;* \-#,##0.00_ ;_ &quot;$&quot;* &quot;-&quot;??_ ;_ @_ "/>
    <numFmt numFmtId="165" formatCode="_ * #,##0.00_ ;_ * \-#,##0.00_ ;_ * &quot;-&quot;??_ ;_ @_ 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 [$$-300A]* #,##0.00_ ;_ [$$-300A]* \-#,##0.00_ ;_ [$$-300A]* &quot;-&quot;??_ ;_ @_ "/>
    <numFmt numFmtId="170" formatCode="_ &quot;$&quot;* #,##0.0_ ;_ &quot;$&quot;* \-#,##0.0_ ;_ &quot;$&quot;* &quot;-&quot;??_ ;_ @_ "/>
    <numFmt numFmtId="171" formatCode="_ &quot;$&quot;* #,##0.0_ ;_ &quot;$&quot;* \-#,##0.0_ ;_ &quot;$&quot;* &quot;-&quot;?_ ;_ @_ "/>
    <numFmt numFmtId="172" formatCode="_-[$$-240A]\ * #,##0.00_-;\-[$$-240A]\ * #,##0.00_-;_-[$$-240A]\ * &quot;-&quot;??_-;_-@_-"/>
    <numFmt numFmtId="173" formatCode="_-* #,##0.00\ [$€-C0A]_-;\-* #,##0.00\ [$€-C0A]_-;_-* &quot;-&quot;??\ [$€-C0A]_-;_-@_-"/>
    <numFmt numFmtId="174" formatCode="_ * #,##0_ ;_ * \-#,##0_ ;_ * &quot;-&quot;??_ ;_ @_ "/>
    <numFmt numFmtId="175" formatCode="0.0000000%"/>
    <numFmt numFmtId="176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17D9ED"/>
        <bgColor indexed="64"/>
      </patternFill>
    </fill>
    <fill>
      <patternFill patternType="solid">
        <fgColor rgb="FF0AD8F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28822"/>
        <bgColor indexed="64"/>
      </patternFill>
    </fill>
    <fill>
      <patternFill patternType="solid">
        <fgColor rgb="FF03D735"/>
        <bgColor indexed="64"/>
      </patternFill>
    </fill>
    <fill>
      <patternFill patternType="solid">
        <fgColor rgb="FF42FC6E"/>
        <bgColor indexed="64"/>
      </patternFill>
    </fill>
    <fill>
      <patternFill patternType="solid">
        <fgColor rgb="FFA1FDB7"/>
        <bgColor indexed="64"/>
      </patternFill>
    </fill>
    <fill>
      <patternFill patternType="solid">
        <fgColor rgb="FFD2FE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E7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166" fontId="1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166" fontId="2" fillId="0" borderId="0" xfId="0" applyNumberFormat="1" applyFont="1"/>
    <xf numFmtId="166" fontId="5" fillId="0" borderId="1" xfId="1" applyFont="1" applyBorder="1"/>
    <xf numFmtId="166" fontId="2" fillId="0" borderId="1" xfId="1" applyFont="1" applyBorder="1"/>
    <xf numFmtId="0" fontId="5" fillId="0" borderId="1" xfId="0" applyFont="1" applyBorder="1"/>
    <xf numFmtId="4" fontId="4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11" fillId="0" borderId="0" xfId="3" applyFont="1"/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/>
    <xf numFmtId="0" fontId="3" fillId="4" borderId="1" xfId="0" applyFont="1" applyFill="1" applyBorder="1" applyAlignment="1">
      <alignment horizontal="justify"/>
    </xf>
    <xf numFmtId="4" fontId="3" fillId="4" borderId="1" xfId="0" applyNumberFormat="1" applyFont="1" applyFill="1" applyBorder="1" applyAlignment="1">
      <alignment horizontal="right"/>
    </xf>
    <xf numFmtId="4" fontId="2" fillId="0" borderId="0" xfId="0" applyNumberFormat="1" applyFont="1"/>
    <xf numFmtId="0" fontId="2" fillId="0" borderId="1" xfId="0" applyFont="1" applyBorder="1" applyAlignment="1">
      <alignment horizontal="justify"/>
    </xf>
    <xf numFmtId="4" fontId="2" fillId="0" borderId="1" xfId="0" applyNumberFormat="1" applyFont="1" applyBorder="1"/>
    <xf numFmtId="0" fontId="3" fillId="4" borderId="1" xfId="0" applyFont="1" applyFill="1" applyBorder="1" applyAlignment="1">
      <alignment horizontal="left"/>
    </xf>
    <xf numFmtId="0" fontId="12" fillId="0" borderId="1" xfId="0" applyFont="1" applyBorder="1"/>
    <xf numFmtId="4" fontId="12" fillId="0" borderId="1" xfId="0" applyNumberFormat="1" applyFont="1" applyBorder="1"/>
    <xf numFmtId="0" fontId="8" fillId="3" borderId="1" xfId="0" applyFont="1" applyFill="1" applyBorder="1"/>
    <xf numFmtId="4" fontId="8" fillId="3" borderId="1" xfId="0" applyNumberFormat="1" applyFont="1" applyFill="1" applyBorder="1"/>
    <xf numFmtId="0" fontId="4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3" fillId="8" borderId="1" xfId="0" applyFont="1" applyFill="1" applyBorder="1" applyAlignment="1">
      <alignment horizontal="center" vertical="center"/>
    </xf>
    <xf numFmtId="166" fontId="3" fillId="4" borderId="1" xfId="1" applyFont="1" applyFill="1" applyBorder="1" applyAlignment="1">
      <alignment horizontal="center"/>
    </xf>
    <xf numFmtId="0" fontId="15" fillId="0" borderId="0" xfId="0" applyFont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0" fontId="15" fillId="0" borderId="0" xfId="2" applyNumberFormat="1" applyFont="1"/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5" fillId="0" borderId="1" xfId="0" applyFont="1" applyBorder="1"/>
    <xf numFmtId="166" fontId="15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166" fontId="15" fillId="0" borderId="0" xfId="0" applyNumberFormat="1" applyFont="1"/>
    <xf numFmtId="166" fontId="19" fillId="2" borderId="1" xfId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left" vertical="center"/>
    </xf>
    <xf numFmtId="166" fontId="19" fillId="0" borderId="1" xfId="1" applyFont="1" applyFill="1" applyBorder="1" applyAlignment="1">
      <alignment horizontal="center" vertical="center"/>
    </xf>
    <xf numFmtId="167" fontId="19" fillId="0" borderId="1" xfId="1" applyNumberFormat="1" applyFont="1" applyFill="1" applyBorder="1" applyAlignment="1">
      <alignment horizontal="center" vertical="center"/>
    </xf>
    <xf numFmtId="166" fontId="15" fillId="0" borderId="1" xfId="1" applyFont="1" applyBorder="1"/>
    <xf numFmtId="166" fontId="18" fillId="0" borderId="1" xfId="1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 wrapText="1"/>
    </xf>
    <xf numFmtId="0" fontId="19" fillId="0" borderId="0" xfId="0" applyFont="1"/>
    <xf numFmtId="0" fontId="3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10" fontId="19" fillId="2" borderId="1" xfId="1" applyNumberFormat="1" applyFont="1" applyFill="1" applyBorder="1" applyAlignment="1">
      <alignment horizontal="right" vertical="center"/>
    </xf>
    <xf numFmtId="0" fontId="18" fillId="11" borderId="1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166" fontId="16" fillId="0" borderId="0" xfId="1" applyFont="1" applyBorder="1" applyAlignment="1">
      <alignment horizontal="right" vertical="center"/>
    </xf>
    <xf numFmtId="0" fontId="16" fillId="3" borderId="1" xfId="0" applyFont="1" applyFill="1" applyBorder="1" applyAlignment="1">
      <alignment horizontal="left" vertical="center"/>
    </xf>
    <xf numFmtId="9" fontId="17" fillId="0" borderId="1" xfId="0" applyNumberFormat="1" applyFont="1" applyBorder="1" applyAlignment="1">
      <alignment horizontal="center"/>
    </xf>
    <xf numFmtId="10" fontId="15" fillId="16" borderId="1" xfId="0" applyNumberFormat="1" applyFont="1" applyFill="1" applyBorder="1"/>
    <xf numFmtId="10" fontId="15" fillId="0" borderId="0" xfId="0" applyNumberFormat="1" applyFont="1"/>
    <xf numFmtId="0" fontId="17" fillId="17" borderId="3" xfId="0" applyFont="1" applyFill="1" applyBorder="1"/>
    <xf numFmtId="0" fontId="17" fillId="17" borderId="1" xfId="0" applyFont="1" applyFill="1" applyBorder="1" applyAlignment="1">
      <alignment horizontal="center"/>
    </xf>
    <xf numFmtId="166" fontId="16" fillId="0" borderId="4" xfId="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9" fontId="17" fillId="0" borderId="0" xfId="0" applyNumberFormat="1" applyFont="1" applyAlignment="1">
      <alignment horizontal="center"/>
    </xf>
    <xf numFmtId="167" fontId="17" fillId="0" borderId="0" xfId="1" applyNumberFormat="1" applyFont="1" applyBorder="1" applyAlignment="1">
      <alignment vertical="center"/>
    </xf>
    <xf numFmtId="167" fontId="17" fillId="0" borderId="0" xfId="0" applyNumberFormat="1" applyFont="1" applyAlignment="1">
      <alignment vertical="center"/>
    </xf>
    <xf numFmtId="0" fontId="17" fillId="12" borderId="1" xfId="0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/>
    </xf>
    <xf numFmtId="0" fontId="14" fillId="9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1" fontId="16" fillId="0" borderId="1" xfId="0" applyNumberFormat="1" applyFont="1" applyBorder="1" applyAlignment="1">
      <alignment horizontal="center"/>
    </xf>
    <xf numFmtId="0" fontId="19" fillId="0" borderId="1" xfId="0" applyFont="1" applyBorder="1"/>
    <xf numFmtId="166" fontId="19" fillId="0" borderId="1" xfId="1" applyFont="1" applyBorder="1"/>
    <xf numFmtId="0" fontId="19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4" fontId="19" fillId="0" borderId="0" xfId="0" applyNumberFormat="1" applyFont="1" applyAlignment="1">
      <alignment horizontal="center"/>
    </xf>
    <xf numFmtId="4" fontId="19" fillId="0" borderId="0" xfId="0" applyNumberFormat="1" applyFont="1"/>
    <xf numFmtId="0" fontId="18" fillId="2" borderId="1" xfId="0" applyFont="1" applyFill="1" applyBorder="1" applyAlignment="1">
      <alignment horizontal="left"/>
    </xf>
    <xf numFmtId="166" fontId="19" fillId="4" borderId="1" xfId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right" vertical="center"/>
    </xf>
    <xf numFmtId="0" fontId="3" fillId="19" borderId="1" xfId="0" applyFont="1" applyFill="1" applyBorder="1" applyAlignment="1">
      <alignment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166" fontId="15" fillId="0" borderId="0" xfId="1" applyFont="1"/>
    <xf numFmtId="166" fontId="15" fillId="0" borderId="1" xfId="1" applyFont="1" applyBorder="1" applyAlignment="1">
      <alignment horizontal="center"/>
    </xf>
    <xf numFmtId="166" fontId="17" fillId="5" borderId="1" xfId="1" applyFont="1" applyFill="1" applyBorder="1" applyAlignment="1">
      <alignment vertical="center"/>
    </xf>
    <xf numFmtId="10" fontId="17" fillId="5" borderId="1" xfId="1" applyNumberFormat="1" applyFont="1" applyFill="1" applyBorder="1" applyAlignment="1">
      <alignment vertical="center"/>
    </xf>
    <xf numFmtId="166" fontId="17" fillId="8" borderId="1" xfId="1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/>
    </xf>
    <xf numFmtId="166" fontId="17" fillId="12" borderId="1" xfId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center"/>
    </xf>
    <xf numFmtId="166" fontId="17" fillId="9" borderId="1" xfId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9" fontId="16" fillId="3" borderId="1" xfId="2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/>
    </xf>
    <xf numFmtId="166" fontId="19" fillId="4" borderId="5" xfId="1" applyFont="1" applyFill="1" applyBorder="1" applyAlignment="1">
      <alignment horizontal="right"/>
    </xf>
    <xf numFmtId="166" fontId="18" fillId="4" borderId="5" xfId="1" applyFont="1" applyFill="1" applyBorder="1" applyAlignment="1">
      <alignment horizontal="right"/>
    </xf>
    <xf numFmtId="166" fontId="18" fillId="0" borderId="5" xfId="1" applyFont="1" applyBorder="1" applyAlignment="1">
      <alignment horizontal="right"/>
    </xf>
    <xf numFmtId="4" fontId="18" fillId="4" borderId="5" xfId="0" applyNumberFormat="1" applyFont="1" applyFill="1" applyBorder="1" applyAlignment="1">
      <alignment horizontal="right"/>
    </xf>
    <xf numFmtId="0" fontId="19" fillId="0" borderId="11" xfId="0" applyFont="1" applyBorder="1"/>
    <xf numFmtId="0" fontId="0" fillId="0" borderId="7" xfId="0" applyBorder="1"/>
    <xf numFmtId="10" fontId="0" fillId="0" borderId="4" xfId="0" applyNumberFormat="1" applyBorder="1"/>
    <xf numFmtId="0" fontId="18" fillId="8" borderId="8" xfId="0" applyFont="1" applyFill="1" applyBorder="1" applyAlignment="1">
      <alignment horizontal="center" vertical="center"/>
    </xf>
    <xf numFmtId="0" fontId="18" fillId="22" borderId="1" xfId="0" applyFont="1" applyFill="1" applyBorder="1" applyAlignment="1">
      <alignment horizontal="center" vertical="center"/>
    </xf>
    <xf numFmtId="167" fontId="16" fillId="3" borderId="1" xfId="1" applyNumberFormat="1" applyFont="1" applyFill="1" applyBorder="1" applyAlignment="1">
      <alignment horizontal="center" vertical="center"/>
    </xf>
    <xf numFmtId="9" fontId="17" fillId="7" borderId="1" xfId="2" applyFont="1" applyFill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14" fillId="23" borderId="1" xfId="0" applyFont="1" applyFill="1" applyBorder="1" applyAlignment="1">
      <alignment horizontal="left" vertical="center"/>
    </xf>
    <xf numFmtId="166" fontId="19" fillId="0" borderId="0" xfId="1" applyFont="1" applyFill="1" applyBorder="1" applyAlignment="1"/>
    <xf numFmtId="9" fontId="0" fillId="0" borderId="0" xfId="0" applyNumberFormat="1"/>
    <xf numFmtId="169" fontId="16" fillId="0" borderId="1" xfId="7" applyNumberFormat="1" applyFont="1" applyBorder="1" applyAlignment="1">
      <alignment vertical="center"/>
    </xf>
    <xf numFmtId="164" fontId="16" fillId="0" borderId="2" xfId="7" applyFont="1" applyBorder="1" applyAlignment="1">
      <alignment vertical="center"/>
    </xf>
    <xf numFmtId="0" fontId="14" fillId="12" borderId="5" xfId="0" applyFont="1" applyFill="1" applyBorder="1" applyAlignment="1">
      <alignment horizontal="left" vertical="center"/>
    </xf>
    <xf numFmtId="170" fontId="15" fillId="0" borderId="0" xfId="7" applyNumberFormat="1" applyFont="1"/>
    <xf numFmtId="171" fontId="0" fillId="0" borderId="0" xfId="0" applyNumberFormat="1"/>
    <xf numFmtId="0" fontId="0" fillId="0" borderId="2" xfId="0" applyBorder="1"/>
    <xf numFmtId="165" fontId="15" fillId="0" borderId="0" xfId="0" applyNumberFormat="1" applyFont="1"/>
    <xf numFmtId="0" fontId="14" fillId="8" borderId="1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12" borderId="5" xfId="0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10" xfId="4" applyFont="1" applyBorder="1"/>
    <xf numFmtId="0" fontId="17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1" fontId="16" fillId="0" borderId="0" xfId="0" applyNumberFormat="1" applyFont="1" applyAlignment="1">
      <alignment horizontal="right"/>
    </xf>
    <xf numFmtId="166" fontId="17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10" fontId="17" fillId="0" borderId="0" xfId="2" applyNumberFormat="1" applyFont="1" applyBorder="1" applyAlignment="1">
      <alignment vertical="center"/>
    </xf>
    <xf numFmtId="4" fontId="15" fillId="0" borderId="0" xfId="0" applyNumberFormat="1" applyFont="1"/>
    <xf numFmtId="3" fontId="19" fillId="0" borderId="0" xfId="0" applyNumberFormat="1" applyFont="1"/>
    <xf numFmtId="0" fontId="16" fillId="16" borderId="1" xfId="0" applyFont="1" applyFill="1" applyBorder="1" applyAlignment="1">
      <alignment horizontal="left" vertical="center"/>
    </xf>
    <xf numFmtId="0" fontId="0" fillId="16" borderId="1" xfId="0" applyFill="1" applyBorder="1"/>
    <xf numFmtId="0" fontId="0" fillId="16" borderId="1" xfId="0" applyFill="1" applyBorder="1" applyAlignment="1">
      <alignment horizontal="center"/>
    </xf>
    <xf numFmtId="0" fontId="21" fillId="16" borderId="1" xfId="0" applyFont="1" applyFill="1" applyBorder="1" applyAlignment="1">
      <alignment horizontal="center"/>
    </xf>
    <xf numFmtId="166" fontId="14" fillId="0" borderId="1" xfId="1" applyFont="1" applyBorder="1" applyAlignment="1">
      <alignment horizontal="right" vertical="center"/>
    </xf>
    <xf numFmtId="9" fontId="15" fillId="0" borderId="0" xfId="0" applyNumberFormat="1" applyFont="1"/>
    <xf numFmtId="9" fontId="0" fillId="16" borderId="1" xfId="2" applyFont="1" applyFill="1" applyBorder="1"/>
    <xf numFmtId="10" fontId="0" fillId="0" borderId="1" xfId="0" applyNumberFormat="1" applyBorder="1"/>
    <xf numFmtId="10" fontId="0" fillId="0" borderId="1" xfId="0" applyNumberFormat="1" applyBorder="1" applyAlignment="1">
      <alignment horizontal="center"/>
    </xf>
    <xf numFmtId="10" fontId="19" fillId="0" borderId="1" xfId="0" applyNumberFormat="1" applyFont="1" applyBorder="1" applyAlignment="1">
      <alignment horizontal="center"/>
    </xf>
    <xf numFmtId="167" fontId="16" fillId="0" borderId="1" xfId="1" applyNumberFormat="1" applyFont="1" applyBorder="1" applyAlignment="1">
      <alignment horizontal="center"/>
    </xf>
    <xf numFmtId="167" fontId="19" fillId="0" borderId="1" xfId="1" applyNumberFormat="1" applyFont="1" applyBorder="1" applyAlignment="1"/>
    <xf numFmtId="167" fontId="19" fillId="0" borderId="1" xfId="1" applyNumberFormat="1" applyFont="1" applyBorder="1" applyAlignment="1">
      <alignment horizontal="left" indent="1"/>
    </xf>
    <xf numFmtId="167" fontId="18" fillId="0" borderId="5" xfId="0" applyNumberFormat="1" applyFont="1" applyBorder="1"/>
    <xf numFmtId="167" fontId="18" fillId="0" borderId="1" xfId="0" applyNumberFormat="1" applyFont="1" applyBorder="1"/>
    <xf numFmtId="167" fontId="16" fillId="0" borderId="1" xfId="1" applyNumberFormat="1" applyFont="1" applyBorder="1" applyAlignment="1">
      <alignment horizontal="left" vertical="center"/>
    </xf>
    <xf numFmtId="167" fontId="15" fillId="0" borderId="1" xfId="0" applyNumberFormat="1" applyFont="1" applyBorder="1"/>
    <xf numFmtId="167" fontId="17" fillId="0" borderId="1" xfId="0" applyNumberFormat="1" applyFont="1" applyBorder="1"/>
    <xf numFmtId="167" fontId="15" fillId="0" borderId="1" xfId="1" applyNumberFormat="1" applyFont="1" applyBorder="1" applyAlignment="1">
      <alignment horizontal="center"/>
    </xf>
    <xf numFmtId="167" fontId="16" fillId="0" borderId="1" xfId="1" applyNumberFormat="1" applyFont="1" applyBorder="1"/>
    <xf numFmtId="167" fontId="14" fillId="0" borderId="1" xfId="1" applyNumberFormat="1" applyFont="1" applyBorder="1"/>
    <xf numFmtId="166" fontId="16" fillId="0" borderId="1" xfId="1" applyFont="1" applyBorder="1" applyAlignment="1">
      <alignment horizontal="center"/>
    </xf>
    <xf numFmtId="167" fontId="14" fillId="0" borderId="1" xfId="1" applyNumberFormat="1" applyFont="1" applyBorder="1" applyAlignment="1">
      <alignment horizontal="right"/>
    </xf>
    <xf numFmtId="167" fontId="18" fillId="0" borderId="1" xfId="1" applyNumberFormat="1" applyFont="1" applyBorder="1"/>
    <xf numFmtId="172" fontId="2" fillId="0" borderId="1" xfId="0" applyNumberFormat="1" applyFont="1" applyBorder="1"/>
    <xf numFmtId="172" fontId="5" fillId="0" borderId="1" xfId="0" applyNumberFormat="1" applyFont="1" applyBorder="1"/>
    <xf numFmtId="172" fontId="16" fillId="3" borderId="1" xfId="1" applyNumberFormat="1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vertical="center"/>
    </xf>
    <xf numFmtId="0" fontId="17" fillId="23" borderId="1" xfId="0" applyFont="1" applyFill="1" applyBorder="1" applyAlignment="1">
      <alignment vertical="center"/>
    </xf>
    <xf numFmtId="0" fontId="17" fillId="9" borderId="7" xfId="0" applyFont="1" applyFill="1" applyBorder="1" applyAlignment="1">
      <alignment vertical="center"/>
    </xf>
    <xf numFmtId="0" fontId="17" fillId="12" borderId="3" xfId="0" applyFont="1" applyFill="1" applyBorder="1" applyAlignment="1">
      <alignment vertical="center"/>
    </xf>
    <xf numFmtId="0" fontId="14" fillId="12" borderId="3" xfId="0" applyFont="1" applyFill="1" applyBorder="1" applyAlignment="1">
      <alignment horizontal="left" vertical="center"/>
    </xf>
    <xf numFmtId="172" fontId="16" fillId="3" borderId="3" xfId="1" applyNumberFormat="1" applyFont="1" applyFill="1" applyBorder="1" applyAlignment="1">
      <alignment horizontal="center" vertical="center"/>
    </xf>
    <xf numFmtId="0" fontId="17" fillId="23" borderId="3" xfId="0" applyFont="1" applyFill="1" applyBorder="1" applyAlignment="1">
      <alignment vertical="center"/>
    </xf>
    <xf numFmtId="0" fontId="14" fillId="23" borderId="3" xfId="0" applyFont="1" applyFill="1" applyBorder="1" applyAlignment="1">
      <alignment horizontal="left" vertical="center"/>
    </xf>
    <xf numFmtId="0" fontId="14" fillId="9" borderId="3" xfId="0" applyFont="1" applyFill="1" applyBorder="1" applyAlignment="1">
      <alignment horizontal="left" vertical="center"/>
    </xf>
    <xf numFmtId="0" fontId="21" fillId="0" borderId="0" xfId="0" applyFont="1" applyAlignment="1">
      <alignment horizontal="center"/>
    </xf>
    <xf numFmtId="9" fontId="17" fillId="0" borderId="0" xfId="0" applyNumberFormat="1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72" fontId="16" fillId="0" borderId="0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72" fontId="16" fillId="0" borderId="1" xfId="1" applyNumberFormat="1" applyFont="1" applyBorder="1" applyAlignment="1">
      <alignment horizontal="center" vertical="center"/>
    </xf>
    <xf numFmtId="172" fontId="15" fillId="0" borderId="1" xfId="1" applyNumberFormat="1" applyFont="1" applyBorder="1" applyAlignment="1">
      <alignment vertical="center"/>
    </xf>
    <xf numFmtId="172" fontId="14" fillId="0" borderId="1" xfId="1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167" fontId="19" fillId="0" borderId="5" xfId="1" applyNumberFormat="1" applyFont="1" applyBorder="1"/>
    <xf numFmtId="166" fontId="3" fillId="0" borderId="1" xfId="1" applyFont="1" applyBorder="1" applyAlignment="1">
      <alignment horizontal="right"/>
    </xf>
    <xf numFmtId="9" fontId="19" fillId="0" borderId="0" xfId="2" applyFont="1"/>
    <xf numFmtId="0" fontId="22" fillId="24" borderId="1" xfId="0" applyFont="1" applyFill="1" applyBorder="1" applyAlignment="1">
      <alignment horizontal="center"/>
    </xf>
    <xf numFmtId="0" fontId="23" fillId="0" borderId="1" xfId="0" applyFont="1" applyBorder="1"/>
    <xf numFmtId="173" fontId="23" fillId="0" borderId="1" xfId="0" applyNumberFormat="1" applyFont="1" applyBorder="1"/>
    <xf numFmtId="0" fontId="22" fillId="24" borderId="1" xfId="0" applyFont="1" applyFill="1" applyBorder="1"/>
    <xf numFmtId="0" fontId="23" fillId="0" borderId="0" xfId="0" applyFont="1"/>
    <xf numFmtId="10" fontId="23" fillId="0" borderId="1" xfId="2" applyNumberFormat="1" applyFont="1" applyBorder="1" applyAlignment="1">
      <alignment horizontal="center" vertical="center"/>
    </xf>
    <xf numFmtId="10" fontId="23" fillId="0" borderId="1" xfId="0" applyNumberFormat="1" applyFont="1" applyBorder="1" applyAlignment="1">
      <alignment horizontal="center"/>
    </xf>
    <xf numFmtId="164" fontId="23" fillId="0" borderId="1" xfId="0" applyNumberFormat="1" applyFont="1" applyBorder="1"/>
    <xf numFmtId="164" fontId="0" fillId="0" borderId="1" xfId="0" applyNumberFormat="1" applyBorder="1"/>
    <xf numFmtId="164" fontId="23" fillId="0" borderId="1" xfId="7" applyFont="1" applyBorder="1"/>
    <xf numFmtId="164" fontId="23" fillId="0" borderId="0" xfId="7" applyFont="1"/>
    <xf numFmtId="164" fontId="22" fillId="25" borderId="1" xfId="7" applyFont="1" applyFill="1" applyBorder="1" applyAlignment="1">
      <alignment horizontal="center" vertical="center"/>
    </xf>
    <xf numFmtId="164" fontId="23" fillId="0" borderId="1" xfId="7" applyFont="1" applyBorder="1" applyAlignment="1">
      <alignment horizontal="center"/>
    </xf>
    <xf numFmtId="0" fontId="23" fillId="0" borderId="1" xfId="1" applyNumberFormat="1" applyFont="1" applyBorder="1" applyAlignment="1">
      <alignment horizontal="center"/>
    </xf>
    <xf numFmtId="0" fontId="23" fillId="0" borderId="1" xfId="7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0" fontId="23" fillId="0" borderId="1" xfId="2" applyNumberFormat="1" applyFont="1" applyBorder="1" applyAlignment="1">
      <alignment horizontal="center"/>
    </xf>
    <xf numFmtId="0" fontId="26" fillId="26" borderId="1" xfId="0" applyFont="1" applyFill="1" applyBorder="1"/>
    <xf numFmtId="173" fontId="26" fillId="26" borderId="1" xfId="0" applyNumberFormat="1" applyFont="1" applyFill="1" applyBorder="1"/>
    <xf numFmtId="10" fontId="23" fillId="0" borderId="0" xfId="0" applyNumberFormat="1" applyFont="1"/>
    <xf numFmtId="0" fontId="26" fillId="0" borderId="1" xfId="0" applyFont="1" applyBorder="1"/>
    <xf numFmtId="0" fontId="27" fillId="0" borderId="1" xfId="0" applyFont="1" applyBorder="1"/>
    <xf numFmtId="9" fontId="23" fillId="0" borderId="0" xfId="2" applyFont="1"/>
    <xf numFmtId="9" fontId="23" fillId="0" borderId="0" xfId="0" applyNumberFormat="1" applyFont="1"/>
    <xf numFmtId="164" fontId="26" fillId="0" borderId="1" xfId="7" applyFont="1" applyBorder="1"/>
    <xf numFmtId="164" fontId="26" fillId="26" borderId="1" xfId="7" applyFont="1" applyFill="1" applyBorder="1"/>
    <xf numFmtId="164" fontId="27" fillId="0" borderId="1" xfId="7" applyFont="1" applyBorder="1"/>
    <xf numFmtId="174" fontId="15" fillId="0" borderId="1" xfId="0" applyNumberFormat="1" applyFont="1" applyBorder="1"/>
    <xf numFmtId="0" fontId="22" fillId="27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64" fontId="17" fillId="3" borderId="1" xfId="0" applyNumberFormat="1" applyFont="1" applyFill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164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/>
    <xf numFmtId="165" fontId="15" fillId="0" borderId="1" xfId="1" applyNumberFormat="1" applyFont="1" applyBorder="1"/>
    <xf numFmtId="172" fontId="17" fillId="0" borderId="1" xfId="1" applyNumberFormat="1" applyFont="1" applyBorder="1" applyAlignment="1">
      <alignment vertical="center"/>
    </xf>
    <xf numFmtId="0" fontId="3" fillId="2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166" fontId="2" fillId="0" borderId="0" xfId="1" applyFont="1" applyBorder="1"/>
    <xf numFmtId="166" fontId="5" fillId="0" borderId="0" xfId="1" applyFont="1" applyBorder="1"/>
    <xf numFmtId="3" fontId="5" fillId="0" borderId="1" xfId="0" applyNumberFormat="1" applyFont="1" applyBorder="1" applyAlignment="1">
      <alignment horizontal="right"/>
    </xf>
    <xf numFmtId="0" fontId="2" fillId="0" borderId="1" xfId="0" applyFont="1" applyBorder="1"/>
    <xf numFmtId="165" fontId="2" fillId="0" borderId="1" xfId="0" applyNumberFormat="1" applyFont="1" applyBorder="1"/>
    <xf numFmtId="165" fontId="5" fillId="0" borderId="1" xfId="0" applyNumberFormat="1" applyFont="1" applyBorder="1"/>
    <xf numFmtId="0" fontId="5" fillId="18" borderId="1" xfId="0" applyFont="1" applyFill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9" fontId="15" fillId="0" borderId="0" xfId="2" applyFont="1" applyFill="1" applyBorder="1" applyAlignment="1">
      <alignment horizontal="center"/>
    </xf>
    <xf numFmtId="172" fontId="16" fillId="0" borderId="1" xfId="1" applyNumberFormat="1" applyFont="1" applyFill="1" applyBorder="1" applyAlignment="1">
      <alignment horizontal="center" vertical="center"/>
    </xf>
    <xf numFmtId="0" fontId="16" fillId="3" borderId="1" xfId="2" applyNumberFormat="1" applyFont="1" applyFill="1" applyBorder="1" applyAlignment="1">
      <alignment horizontal="center" vertical="center"/>
    </xf>
    <xf numFmtId="175" fontId="19" fillId="0" borderId="0" xfId="2" applyNumberFormat="1" applyFont="1"/>
    <xf numFmtId="172" fontId="19" fillId="0" borderId="0" xfId="0" applyNumberFormat="1" applyFont="1"/>
    <xf numFmtId="0" fontId="19" fillId="0" borderId="0" xfId="0" applyFont="1" applyAlignment="1">
      <alignment horizontal="center"/>
    </xf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172" fontId="19" fillId="0" borderId="1" xfId="0" applyNumberFormat="1" applyFont="1" applyBorder="1"/>
    <xf numFmtId="10" fontId="18" fillId="0" borderId="0" xfId="0" applyNumberFormat="1" applyFont="1"/>
    <xf numFmtId="172" fontId="18" fillId="0" borderId="0" xfId="0" applyNumberFormat="1" applyFont="1"/>
    <xf numFmtId="0" fontId="18" fillId="0" borderId="0" xfId="0" applyFont="1" applyAlignment="1">
      <alignment horizontal="right"/>
    </xf>
    <xf numFmtId="0" fontId="18" fillId="24" borderId="1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18" fillId="22" borderId="1" xfId="0" applyFont="1" applyFill="1" applyBorder="1" applyAlignment="1">
      <alignment horizontal="center"/>
    </xf>
    <xf numFmtId="0" fontId="16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center"/>
    </xf>
    <xf numFmtId="167" fontId="15" fillId="0" borderId="5" xfId="1" applyNumberFormat="1" applyFont="1" applyBorder="1" applyAlignment="1">
      <alignment horizontal="center"/>
    </xf>
    <xf numFmtId="172" fontId="18" fillId="2" borderId="1" xfId="0" applyNumberFormat="1" applyFont="1" applyFill="1" applyBorder="1" applyAlignment="1">
      <alignment horizontal="left"/>
    </xf>
    <xf numFmtId="172" fontId="18" fillId="2" borderId="5" xfId="0" applyNumberFormat="1" applyFont="1" applyFill="1" applyBorder="1" applyAlignment="1">
      <alignment horizontal="left"/>
    </xf>
    <xf numFmtId="172" fontId="19" fillId="4" borderId="1" xfId="1" applyNumberFormat="1" applyFont="1" applyFill="1" applyBorder="1" applyAlignment="1">
      <alignment horizontal="right"/>
    </xf>
    <xf numFmtId="172" fontId="18" fillId="4" borderId="1" xfId="1" applyNumberFormat="1" applyFont="1" applyFill="1" applyBorder="1" applyAlignment="1">
      <alignment horizontal="right"/>
    </xf>
    <xf numFmtId="172" fontId="18" fillId="4" borderId="5" xfId="1" applyNumberFormat="1" applyFont="1" applyFill="1" applyBorder="1" applyAlignment="1">
      <alignment horizontal="right"/>
    </xf>
    <xf numFmtId="172" fontId="18" fillId="0" borderId="1" xfId="1" applyNumberFormat="1" applyFont="1" applyBorder="1" applyAlignment="1">
      <alignment horizontal="right"/>
    </xf>
    <xf numFmtId="172" fontId="18" fillId="0" borderId="5" xfId="1" applyNumberFormat="1" applyFont="1" applyBorder="1" applyAlignment="1">
      <alignment horizontal="right"/>
    </xf>
    <xf numFmtId="172" fontId="18" fillId="4" borderId="1" xfId="0" applyNumberFormat="1" applyFont="1" applyFill="1" applyBorder="1" applyAlignment="1">
      <alignment horizontal="right"/>
    </xf>
    <xf numFmtId="172" fontId="18" fillId="4" borderId="5" xfId="0" applyNumberFormat="1" applyFont="1" applyFill="1" applyBorder="1" applyAlignment="1">
      <alignment horizontal="right"/>
    </xf>
    <xf numFmtId="164" fontId="26" fillId="0" borderId="1" xfId="7" applyFont="1" applyFill="1" applyBorder="1"/>
    <xf numFmtId="0" fontId="24" fillId="10" borderId="1" xfId="0" applyFont="1" applyFill="1" applyBorder="1"/>
    <xf numFmtId="0" fontId="25" fillId="10" borderId="1" xfId="0" applyFont="1" applyFill="1" applyBorder="1" applyAlignment="1">
      <alignment horizontal="center"/>
    </xf>
    <xf numFmtId="0" fontId="24" fillId="18" borderId="1" xfId="0" applyFont="1" applyFill="1" applyBorder="1"/>
    <xf numFmtId="0" fontId="25" fillId="18" borderId="1" xfId="0" applyFont="1" applyFill="1" applyBorder="1" applyAlignment="1">
      <alignment horizontal="center"/>
    </xf>
    <xf numFmtId="0" fontId="26" fillId="0" borderId="0" xfId="0" applyFont="1"/>
    <xf numFmtId="173" fontId="27" fillId="0" borderId="0" xfId="0" applyNumberFormat="1" applyFont="1"/>
    <xf numFmtId="0" fontId="24" fillId="28" borderId="1" xfId="0" applyFont="1" applyFill="1" applyBorder="1"/>
    <xf numFmtId="0" fontId="25" fillId="28" borderId="1" xfId="0" applyFont="1" applyFill="1" applyBorder="1" applyAlignment="1">
      <alignment horizontal="center"/>
    </xf>
    <xf numFmtId="172" fontId="4" fillId="0" borderId="1" xfId="0" applyNumberFormat="1" applyFont="1" applyBorder="1" applyAlignment="1">
      <alignment horizontal="right"/>
    </xf>
    <xf numFmtId="172" fontId="6" fillId="4" borderId="1" xfId="0" applyNumberFormat="1" applyFont="1" applyFill="1" applyBorder="1" applyAlignment="1">
      <alignment horizontal="right"/>
    </xf>
    <xf numFmtId="172" fontId="7" fillId="4" borderId="1" xfId="0" applyNumberFormat="1" applyFont="1" applyFill="1" applyBorder="1" applyAlignment="1">
      <alignment horizontal="right"/>
    </xf>
    <xf numFmtId="172" fontId="2" fillId="0" borderId="1" xfId="0" applyNumberFormat="1" applyFont="1" applyBorder="1" applyAlignment="1">
      <alignment horizontal="right"/>
    </xf>
    <xf numFmtId="10" fontId="23" fillId="0" borderId="0" xfId="2" applyNumberFormat="1" applyFont="1"/>
    <xf numFmtId="172" fontId="15" fillId="0" borderId="1" xfId="1" applyNumberFormat="1" applyFont="1" applyBorder="1" applyAlignment="1">
      <alignment horizontal="center"/>
    </xf>
    <xf numFmtId="172" fontId="17" fillId="5" borderId="8" xfId="1" applyNumberFormat="1" applyFont="1" applyFill="1" applyBorder="1" applyAlignment="1">
      <alignment horizontal="left" vertical="center"/>
    </xf>
    <xf numFmtId="172" fontId="15" fillId="3" borderId="1" xfId="1" applyNumberFormat="1" applyFont="1" applyFill="1" applyBorder="1" applyAlignment="1">
      <alignment horizontal="center"/>
    </xf>
    <xf numFmtId="172" fontId="15" fillId="6" borderId="1" xfId="1" applyNumberFormat="1" applyFont="1" applyFill="1" applyBorder="1" applyAlignment="1">
      <alignment horizontal="center"/>
    </xf>
    <xf numFmtId="172" fontId="15" fillId="0" borderId="1" xfId="0" applyNumberFormat="1" applyFont="1" applyBorder="1" applyAlignment="1">
      <alignment horizontal="center"/>
    </xf>
    <xf numFmtId="172" fontId="15" fillId="0" borderId="0" xfId="0" applyNumberFormat="1" applyFont="1"/>
    <xf numFmtId="10" fontId="17" fillId="5" borderId="1" xfId="2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justify" vertical="center"/>
    </xf>
    <xf numFmtId="166" fontId="15" fillId="0" borderId="1" xfId="1" applyFont="1" applyBorder="1" applyAlignment="1">
      <alignment horizontal="center" vertical="center"/>
    </xf>
    <xf numFmtId="166" fontId="15" fillId="0" borderId="1" xfId="0" applyNumberFormat="1" applyFont="1" applyBorder="1" applyAlignment="1">
      <alignment vertical="center"/>
    </xf>
    <xf numFmtId="166" fontId="15" fillId="0" borderId="1" xfId="1" applyFont="1" applyBorder="1" applyAlignment="1">
      <alignment vertical="center"/>
    </xf>
    <xf numFmtId="166" fontId="17" fillId="0" borderId="1" xfId="1" applyFont="1" applyBorder="1" applyAlignment="1">
      <alignment vertical="center"/>
    </xf>
    <xf numFmtId="166" fontId="17" fillId="0" borderId="1" xfId="0" applyNumberFormat="1" applyFont="1" applyBorder="1" applyAlignment="1">
      <alignment vertical="center"/>
    </xf>
    <xf numFmtId="176" fontId="16" fillId="0" borderId="1" xfId="1" applyNumberFormat="1" applyFont="1" applyFill="1" applyBorder="1" applyAlignment="1">
      <alignment horizontal="center" vertical="center"/>
    </xf>
    <xf numFmtId="2" fontId="15" fillId="0" borderId="1" xfId="1" applyNumberFormat="1" applyFont="1" applyBorder="1"/>
    <xf numFmtId="164" fontId="18" fillId="0" borderId="0" xfId="7" applyFont="1"/>
    <xf numFmtId="44" fontId="23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18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10" fontId="7" fillId="4" borderId="1" xfId="0" applyNumberFormat="1" applyFont="1" applyFill="1" applyBorder="1" applyAlignment="1">
      <alignment horizontal="center" vertical="center"/>
    </xf>
    <xf numFmtId="0" fontId="3" fillId="24" borderId="3" xfId="0" applyFont="1" applyFill="1" applyBorder="1" applyAlignment="1">
      <alignment horizontal="center" vertical="center"/>
    </xf>
    <xf numFmtId="0" fontId="3" fillId="24" borderId="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19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/>
    </xf>
    <xf numFmtId="0" fontId="3" fillId="24" borderId="9" xfId="0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center" vertical="center"/>
    </xf>
    <xf numFmtId="0" fontId="3" fillId="24" borderId="8" xfId="0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10" fontId="23" fillId="0" borderId="13" xfId="2" applyNumberFormat="1" applyFont="1" applyBorder="1" applyAlignment="1">
      <alignment horizontal="center" vertical="center"/>
    </xf>
    <xf numFmtId="10" fontId="23" fillId="0" borderId="8" xfId="2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2" fillId="25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23" borderId="1" xfId="0" applyFont="1" applyFill="1" applyBorder="1" applyAlignment="1">
      <alignment horizontal="center" vertical="center"/>
    </xf>
    <xf numFmtId="0" fontId="17" fillId="23" borderId="3" xfId="0" applyFont="1" applyFill="1" applyBorder="1" applyAlignment="1">
      <alignment horizontal="center" vertical="center"/>
    </xf>
    <xf numFmtId="0" fontId="14" fillId="23" borderId="2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7" fillId="18" borderId="3" xfId="0" applyFont="1" applyFill="1" applyBorder="1" applyAlignment="1">
      <alignment horizontal="center" vertical="center"/>
    </xf>
    <xf numFmtId="0" fontId="17" fillId="18" borderId="4" xfId="0" applyFont="1" applyFill="1" applyBorder="1" applyAlignment="1">
      <alignment horizontal="center" vertical="center"/>
    </xf>
    <xf numFmtId="0" fontId="17" fillId="18" borderId="5" xfId="0" applyFont="1" applyFill="1" applyBorder="1" applyAlignment="1">
      <alignment horizontal="center" vertical="center"/>
    </xf>
    <xf numFmtId="0" fontId="17" fillId="12" borderId="3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/>
    </xf>
    <xf numFmtId="0" fontId="17" fillId="12" borderId="5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7" fillId="11" borderId="2" xfId="0" applyFont="1" applyFill="1" applyBorder="1" applyAlignment="1">
      <alignment horizontal="center" vertical="center"/>
    </xf>
    <xf numFmtId="0" fontId="17" fillId="11" borderId="8" xfId="0" applyFont="1" applyFill="1" applyBorder="1" applyAlignment="1">
      <alignment horizontal="center" vertical="center"/>
    </xf>
    <xf numFmtId="0" fontId="17" fillId="14" borderId="2" xfId="0" applyFont="1" applyFill="1" applyBorder="1" applyAlignment="1">
      <alignment horizontal="center" vertical="center"/>
    </xf>
    <xf numFmtId="0" fontId="17" fillId="14" borderId="8" xfId="0" applyFont="1" applyFill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7" fillId="15" borderId="2" xfId="0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/>
    </xf>
    <xf numFmtId="0" fontId="18" fillId="12" borderId="3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/>
    </xf>
    <xf numFmtId="0" fontId="18" fillId="12" borderId="5" xfId="0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7" fillId="12" borderId="8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8" fillId="22" borderId="3" xfId="0" applyFont="1" applyFill="1" applyBorder="1" applyAlignment="1">
      <alignment horizontal="center" vertical="center"/>
    </xf>
    <xf numFmtId="0" fontId="18" fillId="22" borderId="4" xfId="0" applyFont="1" applyFill="1" applyBorder="1" applyAlignment="1">
      <alignment horizontal="center" vertical="center"/>
    </xf>
    <xf numFmtId="0" fontId="18" fillId="22" borderId="5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8" fillId="22" borderId="1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8" fillId="10" borderId="1" xfId="0" applyFont="1" applyFill="1" applyBorder="1" applyAlignment="1">
      <alignment horizontal="center"/>
    </xf>
    <xf numFmtId="0" fontId="18" fillId="24" borderId="1" xfId="0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/>
    </xf>
    <xf numFmtId="0" fontId="22" fillId="18" borderId="1" xfId="0" applyFont="1" applyFill="1" applyBorder="1" applyAlignment="1">
      <alignment horizontal="center"/>
    </xf>
    <xf numFmtId="0" fontId="22" fillId="28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8" borderId="3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/>
    </xf>
    <xf numFmtId="166" fontId="17" fillId="5" borderId="3" xfId="1" applyFont="1" applyFill="1" applyBorder="1" applyAlignment="1">
      <alignment horizontal="center" vertical="center"/>
    </xf>
    <xf numFmtId="166" fontId="17" fillId="5" borderId="4" xfId="1" applyFont="1" applyFill="1" applyBorder="1" applyAlignment="1">
      <alignment horizontal="center" vertical="center"/>
    </xf>
    <xf numFmtId="166" fontId="17" fillId="5" borderId="5" xfId="1" applyFont="1" applyFill="1" applyBorder="1" applyAlignment="1">
      <alignment horizontal="center" vertical="center"/>
    </xf>
    <xf numFmtId="166" fontId="17" fillId="8" borderId="1" xfId="1" applyFont="1" applyFill="1" applyBorder="1" applyAlignment="1">
      <alignment horizontal="center" vertical="center"/>
    </xf>
    <xf numFmtId="166" fontId="17" fillId="12" borderId="1" xfId="1" applyFont="1" applyFill="1" applyBorder="1" applyAlignment="1">
      <alignment horizontal="center" vertical="center"/>
    </xf>
    <xf numFmtId="10" fontId="18" fillId="0" borderId="1" xfId="2" applyNumberFormat="1" applyFont="1" applyFill="1" applyBorder="1" applyAlignment="1">
      <alignment horizontal="center" vertical="center"/>
    </xf>
    <xf numFmtId="166" fontId="17" fillId="9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6" fontId="17" fillId="5" borderId="6" xfId="1" applyFont="1" applyFill="1" applyBorder="1" applyAlignment="1">
      <alignment horizontal="center" vertical="center"/>
    </xf>
    <xf numFmtId="166" fontId="17" fillId="5" borderId="7" xfId="1" applyFont="1" applyFill="1" applyBorder="1" applyAlignment="1">
      <alignment horizontal="center" vertical="center"/>
    </xf>
    <xf numFmtId="166" fontId="17" fillId="5" borderId="9" xfId="1" applyFont="1" applyFill="1" applyBorder="1" applyAlignment="1">
      <alignment horizontal="center" vertical="center"/>
    </xf>
    <xf numFmtId="166" fontId="17" fillId="8" borderId="3" xfId="1" applyFont="1" applyFill="1" applyBorder="1" applyAlignment="1">
      <alignment horizontal="center" vertical="center"/>
    </xf>
    <xf numFmtId="166" fontId="17" fillId="8" borderId="4" xfId="1" applyFont="1" applyFill="1" applyBorder="1" applyAlignment="1">
      <alignment horizontal="center" vertical="center"/>
    </xf>
    <xf numFmtId="166" fontId="17" fillId="8" borderId="5" xfId="1" applyFont="1" applyFill="1" applyBorder="1" applyAlignment="1">
      <alignment horizontal="center" vertical="center"/>
    </xf>
    <xf numFmtId="10" fontId="18" fillId="0" borderId="3" xfId="2" applyNumberFormat="1" applyFont="1" applyFill="1" applyBorder="1" applyAlignment="1">
      <alignment horizontal="center" vertical="center"/>
    </xf>
    <xf numFmtId="10" fontId="18" fillId="0" borderId="4" xfId="2" applyNumberFormat="1" applyFont="1" applyFill="1" applyBorder="1" applyAlignment="1">
      <alignment horizontal="center" vertical="center"/>
    </xf>
    <xf numFmtId="10" fontId="18" fillId="0" borderId="5" xfId="2" applyNumberFormat="1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/>
    </xf>
    <xf numFmtId="0" fontId="17" fillId="9" borderId="4" xfId="0" applyFont="1" applyFill="1" applyBorder="1" applyAlignment="1">
      <alignment horizontal="center"/>
    </xf>
    <xf numFmtId="172" fontId="17" fillId="5" borderId="3" xfId="1" applyNumberFormat="1" applyFont="1" applyFill="1" applyBorder="1" applyAlignment="1">
      <alignment horizontal="center" vertical="center"/>
    </xf>
    <xf numFmtId="172" fontId="17" fillId="5" borderId="4" xfId="1" applyNumberFormat="1" applyFont="1" applyFill="1" applyBorder="1" applyAlignment="1">
      <alignment horizontal="center" vertical="center"/>
    </xf>
    <xf numFmtId="172" fontId="17" fillId="5" borderId="5" xfId="1" applyNumberFormat="1" applyFont="1" applyFill="1" applyBorder="1" applyAlignment="1">
      <alignment horizontal="center" vertical="center"/>
    </xf>
    <xf numFmtId="0" fontId="17" fillId="12" borderId="7" xfId="0" applyFont="1" applyFill="1" applyBorder="1" applyAlignment="1">
      <alignment horizontal="center"/>
    </xf>
    <xf numFmtId="0" fontId="17" fillId="12" borderId="9" xfId="0" applyFont="1" applyFill="1" applyBorder="1" applyAlignment="1">
      <alignment horizontal="center"/>
    </xf>
  </cellXfs>
  <cellStyles count="9">
    <cellStyle name="ANCLAS,REZONES Y SUS PARTES,DE FUNDICION,DE HIERRO O DE ACERO" xfId="6" xr:uid="{00000000-0005-0000-0000-000000000000}"/>
    <cellStyle name="Hipervínculo" xfId="3" builtinId="8"/>
    <cellStyle name="Millares" xfId="1" builtinId="3"/>
    <cellStyle name="Millares 2" xfId="5" xr:uid="{00000000-0005-0000-0000-000003000000}"/>
    <cellStyle name="Moneda" xfId="7" builtinId="4"/>
    <cellStyle name="Normal" xfId="0" builtinId="0"/>
    <cellStyle name="Normal 2 2 2" xfId="4" xr:uid="{00000000-0005-0000-0000-000005000000}"/>
    <cellStyle name="Porcentaje" xfId="2" builtinId="5"/>
    <cellStyle name="Porcentaje 2" xfId="8" xr:uid="{FACFA102-E5D4-AF46-B138-9F630297A133}"/>
  </cellStyles>
  <dxfs count="0"/>
  <tableStyles count="0" defaultTableStyle="TableStyleMedium2" defaultPivotStyle="PivotStyleLight16"/>
  <colors>
    <mruColors>
      <color rgb="FF0AD8F4"/>
      <color rgb="FF03D735"/>
      <color rgb="FF00E7E2"/>
      <color rgb="FFD2FEDC"/>
      <color rgb="FFA1FDB7"/>
      <color rgb="FF42FC6E"/>
      <color rgb="FF028822"/>
      <color rgb="FFFFFFCC"/>
      <color rgb="FF33CCFF"/>
      <color rgb="FF09C6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60"/>
  <sheetViews>
    <sheetView showGridLines="0" tabSelected="1" topLeftCell="A37" zoomScale="90" zoomScaleNormal="90" workbookViewId="0">
      <selection activeCell="C63" sqref="C63"/>
    </sheetView>
  </sheetViews>
  <sheetFormatPr baseColWidth="10" defaultColWidth="11.42578125" defaultRowHeight="12" customHeight="1" x14ac:dyDescent="0.2"/>
  <cols>
    <col min="1" max="1" width="17.5703125" style="1" customWidth="1"/>
    <col min="2" max="2" width="40.85546875" style="1" customWidth="1"/>
    <col min="3" max="3" width="19.28515625" style="1" customWidth="1"/>
    <col min="4" max="4" width="11.42578125" style="1"/>
    <col min="5" max="6" width="17" style="1" customWidth="1"/>
    <col min="7" max="7" width="12.42578125" style="1" customWidth="1"/>
    <col min="8" max="8" width="5.28515625" style="1" bestFit="1" customWidth="1"/>
    <col min="9" max="13" width="13.140625" style="1" bestFit="1" customWidth="1"/>
    <col min="14" max="16384" width="11.42578125" style="1"/>
  </cols>
  <sheetData>
    <row r="2" spans="1:13" ht="12" customHeight="1" x14ac:dyDescent="0.2">
      <c r="A2" s="314" t="s">
        <v>166</v>
      </c>
      <c r="B2" s="321" t="s">
        <v>24</v>
      </c>
      <c r="C2" s="323" t="s">
        <v>25</v>
      </c>
      <c r="D2" s="325" t="s">
        <v>26</v>
      </c>
      <c r="E2" s="316" t="s">
        <v>27</v>
      </c>
      <c r="F2" s="317"/>
      <c r="H2" s="313" t="s">
        <v>142</v>
      </c>
      <c r="I2" s="313"/>
      <c r="J2" s="313"/>
      <c r="K2" s="313"/>
      <c r="L2" s="313"/>
      <c r="M2" s="313"/>
    </row>
    <row r="3" spans="1:13" ht="12" customHeight="1" x14ac:dyDescent="0.2">
      <c r="A3" s="314"/>
      <c r="B3" s="322"/>
      <c r="C3" s="324"/>
      <c r="D3" s="326"/>
      <c r="E3" s="237" t="s">
        <v>17</v>
      </c>
      <c r="F3" s="237" t="s">
        <v>6</v>
      </c>
      <c r="H3" s="247" t="s">
        <v>155</v>
      </c>
      <c r="I3" s="247" t="s">
        <v>36</v>
      </c>
      <c r="J3" s="247" t="s">
        <v>38</v>
      </c>
      <c r="K3" s="247" t="s">
        <v>39</v>
      </c>
      <c r="L3" s="247" t="s">
        <v>40</v>
      </c>
      <c r="M3" s="247" t="s">
        <v>41</v>
      </c>
    </row>
    <row r="4" spans="1:13" ht="12" customHeight="1" x14ac:dyDescent="0.2">
      <c r="A4" s="312" t="s">
        <v>168</v>
      </c>
      <c r="B4" s="298" t="s">
        <v>28</v>
      </c>
      <c r="C4" s="27" t="s">
        <v>1</v>
      </c>
      <c r="D4" s="29">
        <v>2</v>
      </c>
      <c r="E4" s="5">
        <v>315200</v>
      </c>
      <c r="F4" s="5">
        <f t="shared" ref="F4:F6" si="0">D4*E4</f>
        <v>630400</v>
      </c>
      <c r="H4" s="244">
        <v>10</v>
      </c>
      <c r="I4" s="245">
        <f>$F4/$H4</f>
        <v>63040</v>
      </c>
      <c r="J4" s="245">
        <f t="shared" ref="J4:M17" si="1">$F4/$H4</f>
        <v>63040</v>
      </c>
      <c r="K4" s="245">
        <f t="shared" si="1"/>
        <v>63040</v>
      </c>
      <c r="L4" s="245">
        <f t="shared" si="1"/>
        <v>63040</v>
      </c>
      <c r="M4" s="245">
        <f t="shared" si="1"/>
        <v>63040</v>
      </c>
    </row>
    <row r="5" spans="1:13" ht="12" customHeight="1" x14ac:dyDescent="0.2">
      <c r="A5" s="312"/>
      <c r="B5" s="298" t="s">
        <v>86</v>
      </c>
      <c r="C5" s="27" t="s">
        <v>1</v>
      </c>
      <c r="D5" s="29">
        <v>4</v>
      </c>
      <c r="E5" s="5">
        <v>119250</v>
      </c>
      <c r="F5" s="5">
        <f t="shared" si="0"/>
        <v>477000</v>
      </c>
      <c r="H5" s="244">
        <v>10</v>
      </c>
      <c r="I5" s="245">
        <f t="shared" ref="I5:I17" si="2">$F5/$H5</f>
        <v>47700</v>
      </c>
      <c r="J5" s="245">
        <f t="shared" si="1"/>
        <v>47700</v>
      </c>
      <c r="K5" s="245">
        <f t="shared" si="1"/>
        <v>47700</v>
      </c>
      <c r="L5" s="245">
        <f t="shared" si="1"/>
        <v>47700</v>
      </c>
      <c r="M5" s="245">
        <f t="shared" si="1"/>
        <v>47700</v>
      </c>
    </row>
    <row r="6" spans="1:13" ht="12" customHeight="1" x14ac:dyDescent="0.2">
      <c r="A6" s="312"/>
      <c r="B6" s="298" t="s">
        <v>110</v>
      </c>
      <c r="C6" s="27" t="s">
        <v>1</v>
      </c>
      <c r="D6" s="29">
        <v>4</v>
      </c>
      <c r="E6" s="5">
        <v>296100</v>
      </c>
      <c r="F6" s="5">
        <f t="shared" si="0"/>
        <v>1184400</v>
      </c>
      <c r="H6" s="244">
        <v>10</v>
      </c>
      <c r="I6" s="245">
        <f t="shared" si="2"/>
        <v>118440</v>
      </c>
      <c r="J6" s="245">
        <f t="shared" si="1"/>
        <v>118440</v>
      </c>
      <c r="K6" s="245">
        <f t="shared" si="1"/>
        <v>118440</v>
      </c>
      <c r="L6" s="245">
        <f t="shared" si="1"/>
        <v>118440</v>
      </c>
      <c r="M6" s="245">
        <f t="shared" si="1"/>
        <v>118440</v>
      </c>
    </row>
    <row r="7" spans="1:13" ht="12" customHeight="1" x14ac:dyDescent="0.2">
      <c r="A7" s="312"/>
      <c r="B7" s="299" t="s">
        <v>0</v>
      </c>
      <c r="C7" s="27"/>
      <c r="D7" s="10"/>
      <c r="E7" s="199">
        <f>SUM(E4:E6)</f>
        <v>730550</v>
      </c>
      <c r="F7" s="4">
        <f>SUM(F4:F6)</f>
        <v>2291800</v>
      </c>
      <c r="H7" s="244"/>
      <c r="I7" s="245"/>
      <c r="J7" s="245"/>
      <c r="K7" s="245"/>
      <c r="L7" s="245"/>
      <c r="M7" s="245"/>
    </row>
    <row r="8" spans="1:13" ht="12" customHeight="1" x14ac:dyDescent="0.2">
      <c r="A8" s="312" t="s">
        <v>29</v>
      </c>
      <c r="B8" s="300" t="s">
        <v>167</v>
      </c>
      <c r="C8" s="27" t="s">
        <v>1</v>
      </c>
      <c r="D8" s="28">
        <v>1</v>
      </c>
      <c r="E8" s="5">
        <v>1910000</v>
      </c>
      <c r="F8" s="5">
        <f>D8*E8</f>
        <v>1910000</v>
      </c>
      <c r="H8" s="244">
        <v>5</v>
      </c>
      <c r="I8" s="245">
        <f t="shared" si="2"/>
        <v>382000</v>
      </c>
      <c r="J8" s="245">
        <f t="shared" si="1"/>
        <v>382000</v>
      </c>
      <c r="K8" s="245">
        <f t="shared" si="1"/>
        <v>382000</v>
      </c>
      <c r="L8" s="245">
        <f t="shared" si="1"/>
        <v>382000</v>
      </c>
      <c r="M8" s="245">
        <f t="shared" si="1"/>
        <v>382000</v>
      </c>
    </row>
    <row r="9" spans="1:13" ht="12" customHeight="1" x14ac:dyDescent="0.2">
      <c r="A9" s="312"/>
      <c r="B9" s="300" t="s">
        <v>30</v>
      </c>
      <c r="C9" s="27" t="s">
        <v>1</v>
      </c>
      <c r="D9" s="28">
        <v>2</v>
      </c>
      <c r="E9" s="5">
        <v>1420000</v>
      </c>
      <c r="F9" s="5">
        <f t="shared" ref="F9:F11" si="3">D9*E9</f>
        <v>2840000</v>
      </c>
      <c r="H9" s="244">
        <v>5</v>
      </c>
      <c r="I9" s="245">
        <f t="shared" si="2"/>
        <v>568000</v>
      </c>
      <c r="J9" s="245">
        <f t="shared" si="1"/>
        <v>568000</v>
      </c>
      <c r="K9" s="245">
        <f t="shared" si="1"/>
        <v>568000</v>
      </c>
      <c r="L9" s="245">
        <f t="shared" si="1"/>
        <v>568000</v>
      </c>
      <c r="M9" s="245">
        <f t="shared" si="1"/>
        <v>568000</v>
      </c>
    </row>
    <row r="10" spans="1:13" ht="12" customHeight="1" x14ac:dyDescent="0.2">
      <c r="A10" s="312"/>
      <c r="B10" s="300" t="s">
        <v>169</v>
      </c>
      <c r="C10" s="27" t="s">
        <v>1</v>
      </c>
      <c r="D10" s="28">
        <v>2</v>
      </c>
      <c r="E10" s="5">
        <v>310200</v>
      </c>
      <c r="F10" s="5">
        <f t="shared" si="3"/>
        <v>620400</v>
      </c>
      <c r="H10" s="244">
        <v>5</v>
      </c>
      <c r="I10" s="245">
        <f t="shared" si="2"/>
        <v>124080</v>
      </c>
      <c r="J10" s="245">
        <f t="shared" si="1"/>
        <v>124080</v>
      </c>
      <c r="K10" s="245">
        <f t="shared" si="1"/>
        <v>124080</v>
      </c>
      <c r="L10" s="245">
        <f t="shared" si="1"/>
        <v>124080</v>
      </c>
      <c r="M10" s="245">
        <f t="shared" si="1"/>
        <v>124080</v>
      </c>
    </row>
    <row r="11" spans="1:13" ht="12" customHeight="1" x14ac:dyDescent="0.2">
      <c r="A11" s="312"/>
      <c r="B11" s="300" t="s">
        <v>170</v>
      </c>
      <c r="C11" s="27" t="s">
        <v>1</v>
      </c>
      <c r="D11" s="28">
        <v>1</v>
      </c>
      <c r="E11" s="5">
        <v>412320</v>
      </c>
      <c r="F11" s="5">
        <f t="shared" si="3"/>
        <v>412320</v>
      </c>
      <c r="H11" s="244">
        <v>5</v>
      </c>
      <c r="I11" s="245">
        <f t="shared" si="2"/>
        <v>82464</v>
      </c>
      <c r="J11" s="245">
        <f t="shared" si="1"/>
        <v>82464</v>
      </c>
      <c r="K11" s="245">
        <f t="shared" si="1"/>
        <v>82464</v>
      </c>
      <c r="L11" s="245">
        <f t="shared" si="1"/>
        <v>82464</v>
      </c>
      <c r="M11" s="245">
        <f t="shared" si="1"/>
        <v>82464</v>
      </c>
    </row>
    <row r="12" spans="1:13" ht="12" customHeight="1" x14ac:dyDescent="0.2">
      <c r="A12" s="312"/>
      <c r="B12" s="299" t="s">
        <v>0</v>
      </c>
      <c r="C12" s="11"/>
      <c r="D12" s="243"/>
      <c r="E12" s="4">
        <f>SUM(E8:E11)</f>
        <v>4052520</v>
      </c>
      <c r="F12" s="4">
        <f>SUM(F8:F11)</f>
        <v>5782720</v>
      </c>
      <c r="H12" s="244"/>
      <c r="I12" s="245"/>
      <c r="J12" s="245"/>
      <c r="K12" s="245"/>
      <c r="L12" s="245"/>
      <c r="M12" s="245"/>
    </row>
    <row r="13" spans="1:13" ht="12" customHeight="1" x14ac:dyDescent="0.2">
      <c r="A13" s="312" t="s">
        <v>171</v>
      </c>
      <c r="B13" s="301" t="s">
        <v>223</v>
      </c>
      <c r="C13" s="27" t="s">
        <v>1</v>
      </c>
      <c r="D13" s="28">
        <v>1</v>
      </c>
      <c r="E13" s="5">
        <v>60000000</v>
      </c>
      <c r="F13" s="5">
        <f>D13*E13</f>
        <v>60000000</v>
      </c>
      <c r="H13" s="244">
        <v>15</v>
      </c>
      <c r="I13" s="245">
        <f>$F13/$H13</f>
        <v>4000000</v>
      </c>
      <c r="J13" s="245">
        <f t="shared" si="1"/>
        <v>4000000</v>
      </c>
      <c r="K13" s="245">
        <f t="shared" si="1"/>
        <v>4000000</v>
      </c>
      <c r="L13" s="245">
        <f t="shared" si="1"/>
        <v>4000000</v>
      </c>
      <c r="M13" s="245">
        <f t="shared" si="1"/>
        <v>4000000</v>
      </c>
    </row>
    <row r="14" spans="1:13" ht="12" customHeight="1" x14ac:dyDescent="0.2">
      <c r="A14" s="312"/>
      <c r="B14" s="301" t="s">
        <v>172</v>
      </c>
      <c r="C14" s="27" t="s">
        <v>1</v>
      </c>
      <c r="D14" s="28">
        <v>1</v>
      </c>
      <c r="E14" s="5">
        <v>510200</v>
      </c>
      <c r="F14" s="5">
        <f t="shared" ref="F14:F15" si="4">D14*E14</f>
        <v>510200</v>
      </c>
      <c r="H14" s="244">
        <v>15</v>
      </c>
      <c r="I14" s="245">
        <f t="shared" si="2"/>
        <v>34013.333333333336</v>
      </c>
      <c r="J14" s="245">
        <f t="shared" si="1"/>
        <v>34013.333333333336</v>
      </c>
      <c r="K14" s="245">
        <f t="shared" si="1"/>
        <v>34013.333333333336</v>
      </c>
      <c r="L14" s="245">
        <f t="shared" si="1"/>
        <v>34013.333333333336</v>
      </c>
      <c r="M14" s="245">
        <f t="shared" si="1"/>
        <v>34013.333333333336</v>
      </c>
    </row>
    <row r="15" spans="1:13" ht="12" customHeight="1" x14ac:dyDescent="0.2">
      <c r="A15" s="312"/>
      <c r="B15" s="301" t="s">
        <v>173</v>
      </c>
      <c r="C15" s="27" t="s">
        <v>1</v>
      </c>
      <c r="D15" s="28">
        <v>2</v>
      </c>
      <c r="E15" s="5">
        <v>154600</v>
      </c>
      <c r="F15" s="5">
        <f t="shared" si="4"/>
        <v>309200</v>
      </c>
      <c r="H15" s="244">
        <v>5</v>
      </c>
      <c r="I15" s="245">
        <f t="shared" si="2"/>
        <v>61840</v>
      </c>
      <c r="J15" s="245">
        <f t="shared" si="1"/>
        <v>61840</v>
      </c>
      <c r="K15" s="245">
        <f t="shared" si="1"/>
        <v>61840</v>
      </c>
      <c r="L15" s="245">
        <f t="shared" si="1"/>
        <v>61840</v>
      </c>
      <c r="M15" s="245">
        <f t="shared" si="1"/>
        <v>61840</v>
      </c>
    </row>
    <row r="16" spans="1:13" ht="12" customHeight="1" x14ac:dyDescent="0.2">
      <c r="A16" s="312"/>
      <c r="B16" s="299" t="s">
        <v>0</v>
      </c>
      <c r="C16" s="11"/>
      <c r="D16" s="28"/>
      <c r="E16" s="4">
        <f>SUM(E13:E15)</f>
        <v>60664800</v>
      </c>
      <c r="F16" s="4">
        <f>SUM(F13:F15)</f>
        <v>60819400</v>
      </c>
      <c r="H16" s="244"/>
      <c r="I16" s="245"/>
      <c r="J16" s="245"/>
      <c r="K16" s="245"/>
      <c r="L16" s="245"/>
      <c r="M16" s="245"/>
    </row>
    <row r="17" spans="1:13" ht="12" customHeight="1" x14ac:dyDescent="0.2">
      <c r="A17" s="311" t="s">
        <v>174</v>
      </c>
      <c r="B17" s="301" t="s">
        <v>175</v>
      </c>
      <c r="C17" s="27" t="s">
        <v>1</v>
      </c>
      <c r="D17" s="28">
        <v>1</v>
      </c>
      <c r="E17" s="5">
        <f>+ROUND(354533524.1,0)</f>
        <v>354533524</v>
      </c>
      <c r="F17" s="5">
        <f>D17*E17</f>
        <v>354533524</v>
      </c>
      <c r="H17" s="244">
        <v>10</v>
      </c>
      <c r="I17" s="245">
        <f t="shared" si="2"/>
        <v>35453352.399999999</v>
      </c>
      <c r="J17" s="245">
        <f t="shared" si="1"/>
        <v>35453352.399999999</v>
      </c>
      <c r="K17" s="245">
        <f t="shared" si="1"/>
        <v>35453352.399999999</v>
      </c>
      <c r="L17" s="245">
        <f t="shared" si="1"/>
        <v>35453352.399999999</v>
      </c>
      <c r="M17" s="245">
        <f t="shared" si="1"/>
        <v>35453352.399999999</v>
      </c>
    </row>
    <row r="18" spans="1:13" ht="12" customHeight="1" x14ac:dyDescent="0.2">
      <c r="A18" s="311"/>
      <c r="B18" s="299" t="s">
        <v>0</v>
      </c>
      <c r="C18" s="11"/>
      <c r="D18" s="28"/>
      <c r="E18" s="4">
        <f>SUM(E17:E17)</f>
        <v>354533524</v>
      </c>
      <c r="F18" s="4">
        <f>SUM(F17:F17)</f>
        <v>354533524</v>
      </c>
      <c r="H18" s="244"/>
      <c r="I18" s="245"/>
      <c r="J18" s="245"/>
      <c r="K18" s="245"/>
      <c r="L18" s="245"/>
      <c r="M18" s="245"/>
    </row>
    <row r="19" spans="1:13" ht="12" customHeight="1" x14ac:dyDescent="0.2">
      <c r="A19" s="312" t="s">
        <v>85</v>
      </c>
      <c r="B19" s="301" t="s">
        <v>176</v>
      </c>
      <c r="C19" s="27" t="s">
        <v>1</v>
      </c>
      <c r="D19" s="28">
        <v>1</v>
      </c>
      <c r="E19" s="5">
        <v>6791942</v>
      </c>
      <c r="F19" s="5">
        <f>D19*E19</f>
        <v>6791942</v>
      </c>
      <c r="I19" s="246">
        <f>SUM(I4:I18)</f>
        <v>40934929.733333334</v>
      </c>
      <c r="J19" s="246">
        <f>SUM(J4:J18)</f>
        <v>40934929.733333334</v>
      </c>
      <c r="K19" s="246">
        <f>SUM(K4:K18)</f>
        <v>40934929.733333334</v>
      </c>
      <c r="L19" s="246">
        <f>SUM(L4:L18)</f>
        <v>40934929.733333334</v>
      </c>
      <c r="M19" s="246">
        <f>SUM(M4:M18)</f>
        <v>40934929.733333334</v>
      </c>
    </row>
    <row r="20" spans="1:13" ht="12" customHeight="1" x14ac:dyDescent="0.2">
      <c r="A20" s="312"/>
      <c r="B20" s="1" t="s">
        <v>178</v>
      </c>
      <c r="C20" s="27" t="s">
        <v>1</v>
      </c>
      <c r="D20" s="28">
        <v>1</v>
      </c>
      <c r="E20" s="5">
        <v>3710520</v>
      </c>
      <c r="F20" s="5">
        <f t="shared" ref="F20:F21" si="5">D20*E20</f>
        <v>3710520</v>
      </c>
    </row>
    <row r="21" spans="1:13" ht="12" customHeight="1" x14ac:dyDescent="0.2">
      <c r="A21" s="312"/>
      <c r="B21" s="301" t="s">
        <v>177</v>
      </c>
      <c r="C21" s="27" t="s">
        <v>1</v>
      </c>
      <c r="D21" s="28">
        <v>1</v>
      </c>
      <c r="E21" s="5">
        <v>4280000</v>
      </c>
      <c r="F21" s="5">
        <f t="shared" si="5"/>
        <v>4280000</v>
      </c>
    </row>
    <row r="22" spans="1:13" ht="12" customHeight="1" x14ac:dyDescent="0.2">
      <c r="A22" s="312"/>
      <c r="B22" s="299" t="s">
        <v>0</v>
      </c>
      <c r="C22" s="11"/>
      <c r="D22" s="28"/>
      <c r="E22" s="4">
        <f>SUM(E19:E21)</f>
        <v>14782462</v>
      </c>
      <c r="F22" s="4">
        <f>SUM(F19:F21)</f>
        <v>14782462</v>
      </c>
    </row>
    <row r="23" spans="1:13" ht="12" customHeight="1" x14ac:dyDescent="0.2">
      <c r="B23" s="238"/>
      <c r="C23" s="239"/>
      <c r="D23" s="240"/>
      <c r="E23" s="241"/>
      <c r="F23" s="4">
        <f>F7+F12+F16+F18+F22</f>
        <v>438209906</v>
      </c>
    </row>
    <row r="24" spans="1:13" ht="12" customHeight="1" x14ac:dyDescent="0.2">
      <c r="B24" s="238"/>
      <c r="C24" s="239"/>
      <c r="D24" s="240"/>
      <c r="E24" s="241"/>
      <c r="F24" s="242"/>
    </row>
    <row r="26" spans="1:13" ht="12" customHeight="1" x14ac:dyDescent="0.2">
      <c r="B26" s="318" t="s">
        <v>96</v>
      </c>
      <c r="C26" s="318"/>
    </row>
    <row r="27" spans="1:13" ht="12" customHeight="1" x14ac:dyDescent="0.2">
      <c r="B27" s="30" t="s">
        <v>47</v>
      </c>
      <c r="C27" s="30" t="s">
        <v>27</v>
      </c>
    </row>
    <row r="28" spans="1:13" ht="12" customHeight="1" x14ac:dyDescent="0.2">
      <c r="B28" s="9" t="s">
        <v>222</v>
      </c>
      <c r="C28" s="176">
        <v>358000</v>
      </c>
    </row>
    <row r="29" spans="1:13" ht="12" customHeight="1" x14ac:dyDescent="0.2">
      <c r="B29" s="9" t="s">
        <v>117</v>
      </c>
      <c r="C29" s="176">
        <v>16500</v>
      </c>
    </row>
    <row r="30" spans="1:13" ht="12" customHeight="1" x14ac:dyDescent="0.2">
      <c r="B30" s="9" t="s">
        <v>31</v>
      </c>
      <c r="C30" s="176">
        <v>45200</v>
      </c>
      <c r="D30" s="14"/>
    </row>
    <row r="31" spans="1:13" ht="12" customHeight="1" x14ac:dyDescent="0.2">
      <c r="B31" s="6" t="s">
        <v>0</v>
      </c>
      <c r="C31" s="177">
        <f>SUM(C28:C30)</f>
        <v>419700</v>
      </c>
    </row>
    <row r="33" spans="2:3" ht="12" customHeight="1" x14ac:dyDescent="0.2">
      <c r="B33" s="319" t="s">
        <v>64</v>
      </c>
      <c r="C33" s="319"/>
    </row>
    <row r="34" spans="2:3" ht="12.75" x14ac:dyDescent="0.2">
      <c r="B34" s="89" t="s">
        <v>47</v>
      </c>
      <c r="C34" s="90" t="s">
        <v>65</v>
      </c>
    </row>
    <row r="35" spans="2:3" ht="12.75" x14ac:dyDescent="0.2">
      <c r="B35" s="12" t="s">
        <v>206</v>
      </c>
      <c r="C35" s="285">
        <f>'Costos y Gastos'!B63</f>
        <v>1001187132.0333333</v>
      </c>
    </row>
    <row r="36" spans="2:3" ht="12" customHeight="1" x14ac:dyDescent="0.2">
      <c r="B36" s="12" t="s">
        <v>154</v>
      </c>
      <c r="C36" s="285">
        <f>'Costos y Gastos'!B66</f>
        <v>147000000</v>
      </c>
    </row>
    <row r="37" spans="2:3" ht="12" customHeight="1" x14ac:dyDescent="0.2">
      <c r="B37" s="12" t="str">
        <f>'Costos y Gastos'!A67</f>
        <v>Gastos de arriendo</v>
      </c>
      <c r="C37" s="285">
        <f>'Costos y Gastos'!B67</f>
        <v>43680000</v>
      </c>
    </row>
    <row r="38" spans="2:3" ht="12" customHeight="1" x14ac:dyDescent="0.2">
      <c r="B38" s="12" t="str">
        <f>'Costos y Gastos'!A68</f>
        <v>Gasto servicios de terceros</v>
      </c>
      <c r="C38" s="285">
        <f>'Costos y Gastos'!B68</f>
        <v>72242400</v>
      </c>
    </row>
    <row r="39" spans="2:3" ht="12" customHeight="1" x14ac:dyDescent="0.2">
      <c r="B39" s="12" t="str">
        <f>'Costos y Gastos'!A69</f>
        <v xml:space="preserve">Gastos servicios básicos </v>
      </c>
      <c r="C39" s="285">
        <f>'Costos y Gastos'!B69</f>
        <v>7945440</v>
      </c>
    </row>
    <row r="40" spans="2:3" ht="12" customHeight="1" x14ac:dyDescent="0.2">
      <c r="B40" s="12" t="str">
        <f>'Costos y Gastos'!A70</f>
        <v>Gastos de suministros de farmacia</v>
      </c>
      <c r="C40" s="285">
        <f>'Costos y Gastos'!B70</f>
        <v>13308348</v>
      </c>
    </row>
    <row r="41" spans="2:3" ht="12" customHeight="1" x14ac:dyDescent="0.2">
      <c r="B41" s="12" t="str">
        <f>'Costos y Gastos'!A71</f>
        <v xml:space="preserve">Gasto suministros de oficina </v>
      </c>
      <c r="C41" s="285">
        <f>'Costos y Gastos'!B71</f>
        <v>4131600</v>
      </c>
    </row>
    <row r="42" spans="2:3" ht="12" customHeight="1" x14ac:dyDescent="0.2">
      <c r="B42" s="12" t="str">
        <f>'Costos y Gastos'!A72</f>
        <v>Gastos de publicidad</v>
      </c>
      <c r="C42" s="285">
        <f>'Costos y Gastos'!B72</f>
        <v>17828760</v>
      </c>
    </row>
    <row r="43" spans="2:3" ht="12" customHeight="1" x14ac:dyDescent="0.2">
      <c r="B43" s="12" t="s">
        <v>106</v>
      </c>
      <c r="C43" s="285">
        <f>SUM(C36:C42)</f>
        <v>306136548</v>
      </c>
    </row>
    <row r="44" spans="2:3" ht="12" customHeight="1" x14ac:dyDescent="0.2">
      <c r="B44" s="12" t="s">
        <v>107</v>
      </c>
      <c r="C44" s="285">
        <f>C43/12</f>
        <v>25511379</v>
      </c>
    </row>
    <row r="45" spans="2:3" ht="12" customHeight="1" x14ac:dyDescent="0.2">
      <c r="B45" s="12" t="s">
        <v>108</v>
      </c>
      <c r="C45" s="7">
        <v>12</v>
      </c>
    </row>
    <row r="46" spans="2:3" ht="12" customHeight="1" x14ac:dyDescent="0.2">
      <c r="B46" s="2" t="s">
        <v>64</v>
      </c>
      <c r="C46" s="286">
        <f>3*C44</f>
        <v>76534137</v>
      </c>
    </row>
    <row r="49" spans="2:5" ht="12" customHeight="1" x14ac:dyDescent="0.2">
      <c r="B49" s="320" t="s">
        <v>66</v>
      </c>
      <c r="C49" s="320"/>
      <c r="D49" s="320"/>
    </row>
    <row r="50" spans="2:5" ht="12" customHeight="1" x14ac:dyDescent="0.2">
      <c r="B50" s="50" t="s">
        <v>47</v>
      </c>
      <c r="C50" s="50" t="s">
        <v>27</v>
      </c>
      <c r="D50" s="50" t="s">
        <v>67</v>
      </c>
    </row>
    <row r="51" spans="2:5" ht="12" customHeight="1" x14ac:dyDescent="0.2">
      <c r="B51" s="15" t="s">
        <v>12</v>
      </c>
      <c r="C51" s="286">
        <f>SUM(C52:C57)</f>
        <v>438629606</v>
      </c>
      <c r="D51" s="315">
        <f>C51/C60</f>
        <v>0.85143726040518342</v>
      </c>
    </row>
    <row r="52" spans="2:5" ht="12" customHeight="1" x14ac:dyDescent="0.2">
      <c r="B52" s="12" t="str">
        <f>A4</f>
        <v>Equipos de Oficina</v>
      </c>
      <c r="C52" s="287">
        <f>F7</f>
        <v>2291800</v>
      </c>
      <c r="D52" s="315"/>
    </row>
    <row r="53" spans="2:5" ht="12" customHeight="1" x14ac:dyDescent="0.2">
      <c r="B53" s="12" t="str">
        <f>A8</f>
        <v>Equipos Tecnológicos</v>
      </c>
      <c r="C53" s="287">
        <f>F12</f>
        <v>5782720</v>
      </c>
      <c r="D53" s="315"/>
    </row>
    <row r="54" spans="2:5" ht="12" customHeight="1" x14ac:dyDescent="0.2">
      <c r="B54" s="12" t="str">
        <f>A13</f>
        <v>Equipos de Local</v>
      </c>
      <c r="C54" s="287">
        <f>F16</f>
        <v>60819400</v>
      </c>
      <c r="D54" s="315"/>
      <c r="E54" s="19"/>
    </row>
    <row r="55" spans="2:5" ht="12" customHeight="1" x14ac:dyDescent="0.2">
      <c r="B55" s="12" t="str">
        <f>A17</f>
        <v>Almacenamiento y Dispensación</v>
      </c>
      <c r="C55" s="287">
        <f>F18</f>
        <v>354533524</v>
      </c>
      <c r="D55" s="315"/>
      <c r="E55" s="19"/>
    </row>
    <row r="56" spans="2:5" ht="12" customHeight="1" x14ac:dyDescent="0.2">
      <c r="B56" s="12" t="str">
        <f>A19</f>
        <v>Intangibles</v>
      </c>
      <c r="C56" s="287">
        <f>F22</f>
        <v>14782462</v>
      </c>
      <c r="D56" s="315"/>
      <c r="E56" s="19"/>
    </row>
    <row r="57" spans="2:5" ht="12" customHeight="1" x14ac:dyDescent="0.2">
      <c r="B57" s="12" t="str">
        <f>B26</f>
        <v>Constitución</v>
      </c>
      <c r="C57" s="288">
        <f>C31</f>
        <v>419700</v>
      </c>
      <c r="D57" s="315"/>
    </row>
    <row r="58" spans="2:5" ht="12" customHeight="1" x14ac:dyDescent="0.2">
      <c r="B58" s="15" t="s">
        <v>13</v>
      </c>
      <c r="C58" s="286">
        <f>SUM(C59)</f>
        <v>76534137</v>
      </c>
      <c r="D58" s="315">
        <f>C58/C60</f>
        <v>0.14856273959481656</v>
      </c>
    </row>
    <row r="59" spans="2:5" ht="12" customHeight="1" x14ac:dyDescent="0.2">
      <c r="B59" s="12" t="s">
        <v>7</v>
      </c>
      <c r="C59" s="285">
        <f>C46</f>
        <v>76534137</v>
      </c>
      <c r="D59" s="315"/>
    </row>
    <row r="60" spans="2:5" ht="12" customHeight="1" x14ac:dyDescent="0.2">
      <c r="B60" s="13" t="s">
        <v>0</v>
      </c>
      <c r="C60" s="286">
        <f>C51+C58</f>
        <v>515163743</v>
      </c>
      <c r="D60" s="88">
        <f>SUM(D51:D59)</f>
        <v>1</v>
      </c>
      <c r="E60" s="19"/>
    </row>
  </sheetData>
  <mergeCells count="16">
    <mergeCell ref="D51:D57"/>
    <mergeCell ref="D58:D59"/>
    <mergeCell ref="E2:F2"/>
    <mergeCell ref="B26:C26"/>
    <mergeCell ref="B33:C33"/>
    <mergeCell ref="B49:D49"/>
    <mergeCell ref="B2:B3"/>
    <mergeCell ref="C2:C3"/>
    <mergeCell ref="D2:D3"/>
    <mergeCell ref="A17:A18"/>
    <mergeCell ref="A19:A22"/>
    <mergeCell ref="H2:M2"/>
    <mergeCell ref="A2:A3"/>
    <mergeCell ref="A4:A7"/>
    <mergeCell ref="A8:A12"/>
    <mergeCell ref="A13:A16"/>
  </mergeCells>
  <phoneticPr fontId="20" type="noConversion"/>
  <pageMargins left="0.7" right="0.7" top="0.75" bottom="0.75" header="0.3" footer="0.3"/>
  <pageSetup scale="73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AE92-0933-430D-B37A-75D99BC2CCE2}">
  <dimension ref="A1:D11"/>
  <sheetViews>
    <sheetView workbookViewId="0">
      <selection activeCell="B15" sqref="B15"/>
    </sheetView>
  </sheetViews>
  <sheetFormatPr baseColWidth="10" defaultRowHeight="15" x14ac:dyDescent="0.25"/>
  <cols>
    <col min="1" max="1" width="32" customWidth="1"/>
    <col min="2" max="2" width="18.28515625" customWidth="1"/>
    <col min="3" max="3" width="18.7109375" customWidth="1"/>
    <col min="4" max="4" width="21.85546875" customWidth="1"/>
  </cols>
  <sheetData>
    <row r="1" spans="1:4" x14ac:dyDescent="0.25">
      <c r="A1" s="201" t="s">
        <v>24</v>
      </c>
      <c r="B1" s="201" t="s">
        <v>65</v>
      </c>
      <c r="C1" s="201" t="s">
        <v>46</v>
      </c>
      <c r="D1" s="201" t="s">
        <v>64</v>
      </c>
    </row>
    <row r="2" spans="1:4" x14ac:dyDescent="0.25">
      <c r="A2" s="202" t="s">
        <v>118</v>
      </c>
      <c r="B2" s="208">
        <f>Sueldos!E20</f>
        <v>147000000</v>
      </c>
      <c r="C2" s="209">
        <f>B2/12</f>
        <v>12250000</v>
      </c>
      <c r="D2" s="209">
        <f>C2*3</f>
        <v>36750000</v>
      </c>
    </row>
    <row r="3" spans="1:4" x14ac:dyDescent="0.25">
      <c r="A3" s="202" t="s">
        <v>119</v>
      </c>
      <c r="B3" s="208">
        <f>'Costos y Gastos'!E12</f>
        <v>43680000</v>
      </c>
      <c r="C3" s="209">
        <f t="shared" ref="C3:C7" si="0">B3/12</f>
        <v>3640000</v>
      </c>
      <c r="D3" s="209">
        <f t="shared" ref="D3:D7" si="1">C3*3</f>
        <v>10920000</v>
      </c>
    </row>
    <row r="4" spans="1:4" x14ac:dyDescent="0.25">
      <c r="A4" s="202" t="s">
        <v>133</v>
      </c>
      <c r="B4" s="208">
        <f>'Costos y Gastos'!E18</f>
        <v>72242400</v>
      </c>
      <c r="C4" s="209">
        <f t="shared" si="0"/>
        <v>6020200</v>
      </c>
      <c r="D4" s="209">
        <f t="shared" si="1"/>
        <v>18060600</v>
      </c>
    </row>
    <row r="5" spans="1:4" x14ac:dyDescent="0.25">
      <c r="A5" s="202" t="s">
        <v>120</v>
      </c>
      <c r="B5" s="208">
        <f>'Costos y Gastos'!E49</f>
        <v>4131600</v>
      </c>
      <c r="C5" s="209">
        <f t="shared" si="0"/>
        <v>344300</v>
      </c>
      <c r="D5" s="209">
        <f t="shared" si="1"/>
        <v>1032900</v>
      </c>
    </row>
    <row r="6" spans="1:4" x14ac:dyDescent="0.25">
      <c r="A6" s="202" t="s">
        <v>103</v>
      </c>
      <c r="B6" s="208">
        <f>'Costos y Gastos'!E25</f>
        <v>7945440</v>
      </c>
      <c r="C6" s="209">
        <f t="shared" si="0"/>
        <v>662120</v>
      </c>
      <c r="D6" s="209">
        <f t="shared" si="1"/>
        <v>1986360</v>
      </c>
    </row>
    <row r="7" spans="1:4" x14ac:dyDescent="0.25">
      <c r="A7" s="202" t="s">
        <v>121</v>
      </c>
      <c r="B7" s="208">
        <f>'Costos y Gastos'!E55</f>
        <v>17828760</v>
      </c>
      <c r="C7" s="209">
        <f t="shared" si="0"/>
        <v>1485730</v>
      </c>
      <c r="D7" s="209">
        <f t="shared" si="1"/>
        <v>4457190</v>
      </c>
    </row>
    <row r="8" spans="1:4" x14ac:dyDescent="0.25">
      <c r="A8" s="202" t="s">
        <v>106</v>
      </c>
      <c r="B8" s="208">
        <f>SUM(B2:B7)</f>
        <v>292828200</v>
      </c>
      <c r="C8" s="208">
        <f t="shared" ref="C8:D8" si="2">SUM(C2:C7)</f>
        <v>24402350</v>
      </c>
      <c r="D8" s="208">
        <f t="shared" si="2"/>
        <v>73207050</v>
      </c>
    </row>
    <row r="9" spans="1:4" x14ac:dyDescent="0.25">
      <c r="A9" s="202" t="s">
        <v>107</v>
      </c>
      <c r="B9" s="203">
        <f>B8/12</f>
        <v>24402350</v>
      </c>
    </row>
    <row r="10" spans="1:4" x14ac:dyDescent="0.25">
      <c r="A10" s="202" t="s">
        <v>122</v>
      </c>
      <c r="B10" s="202">
        <v>3</v>
      </c>
    </row>
    <row r="11" spans="1:4" x14ac:dyDescent="0.25">
      <c r="A11" s="202" t="s">
        <v>7</v>
      </c>
      <c r="B11" s="203">
        <f>B10*B9</f>
        <v>73207050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ED4E-161F-4CE2-BA89-F92D9BDB76F3}">
  <dimension ref="A1:F27"/>
  <sheetViews>
    <sheetView topLeftCell="A7" workbookViewId="0">
      <selection activeCell="A14" sqref="A14"/>
    </sheetView>
  </sheetViews>
  <sheetFormatPr baseColWidth="10" defaultColWidth="11.42578125" defaultRowHeight="14.25" x14ac:dyDescent="0.2"/>
  <cols>
    <col min="1" max="6" width="27.7109375" style="205" customWidth="1"/>
    <col min="7" max="16384" width="11.42578125" style="205"/>
  </cols>
  <sheetData>
    <row r="1" spans="1:6" x14ac:dyDescent="0.2">
      <c r="A1" s="204" t="s">
        <v>123</v>
      </c>
      <c r="B1" s="204" t="s">
        <v>24</v>
      </c>
      <c r="C1" s="204" t="s">
        <v>27</v>
      </c>
      <c r="D1" s="204" t="s">
        <v>67</v>
      </c>
    </row>
    <row r="2" spans="1:6" x14ac:dyDescent="0.2">
      <c r="A2" s="327" t="s">
        <v>124</v>
      </c>
      <c r="B2" s="202" t="str">
        <f>Inversiones!B52</f>
        <v>Equipos de Oficina</v>
      </c>
      <c r="C2" s="210">
        <f>Inversiones!C52</f>
        <v>2291800</v>
      </c>
      <c r="D2" s="329">
        <f>SUM(C2:C7)/C9</f>
        <v>0.85143726040518342</v>
      </c>
    </row>
    <row r="3" spans="1:6" x14ac:dyDescent="0.2">
      <c r="A3" s="327"/>
      <c r="B3" s="202" t="str">
        <f>Inversiones!B53</f>
        <v>Equipos Tecnológicos</v>
      </c>
      <c r="C3" s="210">
        <f>Inversiones!C53</f>
        <v>5782720</v>
      </c>
      <c r="D3" s="329"/>
    </row>
    <row r="4" spans="1:6" x14ac:dyDescent="0.2">
      <c r="A4" s="327"/>
      <c r="B4" s="202" t="str">
        <f>Inversiones!B54</f>
        <v>Equipos de Local</v>
      </c>
      <c r="C4" s="210">
        <f>Inversiones!C54</f>
        <v>60819400</v>
      </c>
      <c r="D4" s="329"/>
    </row>
    <row r="5" spans="1:6" x14ac:dyDescent="0.2">
      <c r="A5" s="327"/>
      <c r="B5" s="202" t="str">
        <f>Inversiones!B55</f>
        <v>Almacenamiento y Dispensación</v>
      </c>
      <c r="C5" s="210">
        <f>Inversiones!C55</f>
        <v>354533524</v>
      </c>
      <c r="D5" s="329"/>
    </row>
    <row r="6" spans="1:6" x14ac:dyDescent="0.2">
      <c r="A6" s="327"/>
      <c r="B6" s="202" t="str">
        <f>Inversiones!B56</f>
        <v>Intangibles</v>
      </c>
      <c r="C6" s="210">
        <f>Inversiones!C56</f>
        <v>14782462</v>
      </c>
      <c r="D6" s="329"/>
    </row>
    <row r="7" spans="1:6" x14ac:dyDescent="0.2">
      <c r="A7" s="328"/>
      <c r="B7" s="202" t="str">
        <f>Inversiones!B57</f>
        <v>Constitución</v>
      </c>
      <c r="C7" s="210">
        <f>Inversiones!C57</f>
        <v>419700</v>
      </c>
      <c r="D7" s="330"/>
    </row>
    <row r="8" spans="1:6" x14ac:dyDescent="0.2">
      <c r="A8" s="202" t="s">
        <v>125</v>
      </c>
      <c r="B8" s="202" t="s">
        <v>64</v>
      </c>
      <c r="C8" s="210">
        <f>Inversiones!C59</f>
        <v>76534137</v>
      </c>
      <c r="D8" s="206">
        <f>C8/C9</f>
        <v>0.14856273959481656</v>
      </c>
    </row>
    <row r="9" spans="1:6" x14ac:dyDescent="0.2">
      <c r="A9" s="331" t="s">
        <v>6</v>
      </c>
      <c r="B9" s="331"/>
      <c r="C9" s="210">
        <f>SUM(C2:C8)</f>
        <v>515163743</v>
      </c>
      <c r="D9" s="207">
        <f>SUM(D2:D8)</f>
        <v>1</v>
      </c>
    </row>
    <row r="10" spans="1:6" x14ac:dyDescent="0.2">
      <c r="C10" s="211">
        <f>C9-A14</f>
        <v>231823684</v>
      </c>
      <c r="D10" s="223">
        <f>C10/C9</f>
        <v>0.44999999932060436</v>
      </c>
    </row>
    <row r="12" spans="1:6" x14ac:dyDescent="0.2">
      <c r="A12" s="332" t="s">
        <v>126</v>
      </c>
      <c r="B12" s="332"/>
      <c r="C12" s="332"/>
      <c r="D12" s="332"/>
    </row>
    <row r="13" spans="1:6" x14ac:dyDescent="0.2">
      <c r="A13" s="212" t="s">
        <v>127</v>
      </c>
      <c r="B13" s="212" t="s">
        <v>128</v>
      </c>
      <c r="C13" s="212" t="s">
        <v>129</v>
      </c>
      <c r="D13" s="212" t="s">
        <v>130</v>
      </c>
    </row>
    <row r="14" spans="1:6" x14ac:dyDescent="0.2">
      <c r="A14" s="213">
        <v>283340059</v>
      </c>
      <c r="B14" s="217">
        <v>0.13519999999999999</v>
      </c>
      <c r="C14" s="214">
        <v>10</v>
      </c>
      <c r="D14" s="213">
        <f>A14*B14</f>
        <v>38307575.976799995</v>
      </c>
    </row>
    <row r="16" spans="1:6" x14ac:dyDescent="0.2">
      <c r="A16" s="229" t="s">
        <v>158</v>
      </c>
      <c r="B16" s="229" t="s">
        <v>160</v>
      </c>
      <c r="C16" s="229" t="s">
        <v>131</v>
      </c>
      <c r="D16" s="229" t="s">
        <v>126</v>
      </c>
      <c r="E16" s="229" t="s">
        <v>132</v>
      </c>
      <c r="F16" s="229" t="s">
        <v>159</v>
      </c>
    </row>
    <row r="17" spans="1:6" x14ac:dyDescent="0.2">
      <c r="A17" s="215">
        <v>0</v>
      </c>
      <c r="B17" s="202"/>
      <c r="C17" s="210"/>
      <c r="D17" s="202"/>
      <c r="E17" s="208">
        <f>A14</f>
        <v>283340059</v>
      </c>
      <c r="F17" s="202"/>
    </row>
    <row r="18" spans="1:6" x14ac:dyDescent="0.2">
      <c r="A18" s="215">
        <v>1</v>
      </c>
      <c r="B18" s="210">
        <f>IF(A18&lt;=$C$14,PMT($B$14,$C$14,-$A$14),"")</f>
        <v>53306319.244553111</v>
      </c>
      <c r="C18" s="210">
        <f>IF(A18&lt;=$C$14,E17*$B$14,"")</f>
        <v>38307575.976799995</v>
      </c>
      <c r="D18" s="210">
        <f>IF(A18&lt;=$C$14,B18-C18,"")</f>
        <v>14998743.267753117</v>
      </c>
      <c r="E18" s="210">
        <f>+E17-D18</f>
        <v>268341315.73224688</v>
      </c>
      <c r="F18" s="210">
        <f t="shared" ref="F18:F27" si="0">IF(A18&lt;=$C$10,F17+D18,"")</f>
        <v>14998743.267753117</v>
      </c>
    </row>
    <row r="19" spans="1:6" x14ac:dyDescent="0.2">
      <c r="A19" s="215">
        <v>2</v>
      </c>
      <c r="B19" s="210">
        <f t="shared" ref="B19:B27" si="1">IF(A19&lt;=$C$14,PMT($B$14,$C$14,-$A$14),"")</f>
        <v>53306319.244553111</v>
      </c>
      <c r="C19" s="210">
        <f t="shared" ref="C19:C27" si="2">IF(A19&lt;=$C$14,E18*$B$14,"")</f>
        <v>36279745.886999771</v>
      </c>
      <c r="D19" s="210">
        <f t="shared" ref="D19:D27" si="3">IF(A19&lt;=$C$14,B19-C19,"")</f>
        <v>17026573.35755334</v>
      </c>
      <c r="E19" s="210">
        <f t="shared" ref="E19:E27" si="4">+E18-D19</f>
        <v>251314742.37469354</v>
      </c>
      <c r="F19" s="210">
        <f t="shared" si="0"/>
        <v>32025316.625306457</v>
      </c>
    </row>
    <row r="20" spans="1:6" x14ac:dyDescent="0.2">
      <c r="A20" s="215">
        <v>3</v>
      </c>
      <c r="B20" s="210">
        <f t="shared" si="1"/>
        <v>53306319.244553111</v>
      </c>
      <c r="C20" s="210">
        <f t="shared" si="2"/>
        <v>33977753.169058561</v>
      </c>
      <c r="D20" s="210">
        <f t="shared" si="3"/>
        <v>19328566.07549455</v>
      </c>
      <c r="E20" s="210">
        <f t="shared" si="4"/>
        <v>231986176.29919899</v>
      </c>
      <c r="F20" s="210">
        <f t="shared" si="0"/>
        <v>51353882.700801007</v>
      </c>
    </row>
    <row r="21" spans="1:6" x14ac:dyDescent="0.2">
      <c r="A21" s="215">
        <v>4</v>
      </c>
      <c r="B21" s="210">
        <f t="shared" si="1"/>
        <v>53306319.244553111</v>
      </c>
      <c r="C21" s="210">
        <f t="shared" si="2"/>
        <v>31364531.035651699</v>
      </c>
      <c r="D21" s="210">
        <f t="shared" si="3"/>
        <v>21941788.208901413</v>
      </c>
      <c r="E21" s="210">
        <f t="shared" si="4"/>
        <v>210044388.09029758</v>
      </c>
      <c r="F21" s="210">
        <f t="shared" si="0"/>
        <v>73295670.90970242</v>
      </c>
    </row>
    <row r="22" spans="1:6" x14ac:dyDescent="0.2">
      <c r="A22" s="215">
        <v>5</v>
      </c>
      <c r="B22" s="210">
        <f t="shared" si="1"/>
        <v>53306319.244553111</v>
      </c>
      <c r="C22" s="210">
        <f t="shared" si="2"/>
        <v>28398001.269808229</v>
      </c>
      <c r="D22" s="210">
        <f t="shared" si="3"/>
        <v>24908317.974744882</v>
      </c>
      <c r="E22" s="210">
        <f t="shared" si="4"/>
        <v>185136070.11555269</v>
      </c>
      <c r="F22" s="210">
        <f t="shared" si="0"/>
        <v>98203988.884447306</v>
      </c>
    </row>
    <row r="23" spans="1:6" x14ac:dyDescent="0.2">
      <c r="A23" s="215">
        <v>6</v>
      </c>
      <c r="B23" s="210">
        <f t="shared" si="1"/>
        <v>53306319.244553111</v>
      </c>
      <c r="C23" s="210">
        <f t="shared" si="2"/>
        <v>25030396.679622721</v>
      </c>
      <c r="D23" s="210">
        <f t="shared" si="3"/>
        <v>28275922.564930391</v>
      </c>
      <c r="E23" s="210">
        <f t="shared" si="4"/>
        <v>156860147.55062231</v>
      </c>
      <c r="F23" s="210">
        <f t="shared" si="0"/>
        <v>126479911.4493777</v>
      </c>
    </row>
    <row r="24" spans="1:6" x14ac:dyDescent="0.2">
      <c r="A24" s="215">
        <v>7</v>
      </c>
      <c r="B24" s="210">
        <f t="shared" si="1"/>
        <v>53306319.244553111</v>
      </c>
      <c r="C24" s="210">
        <f t="shared" si="2"/>
        <v>21207491.948844135</v>
      </c>
      <c r="D24" s="210">
        <f t="shared" si="3"/>
        <v>32098827.295708977</v>
      </c>
      <c r="E24" s="210">
        <f t="shared" si="4"/>
        <v>124761320.25491333</v>
      </c>
      <c r="F24" s="210">
        <f t="shared" si="0"/>
        <v>158578738.74508667</v>
      </c>
    </row>
    <row r="25" spans="1:6" x14ac:dyDescent="0.2">
      <c r="A25" s="215">
        <v>8</v>
      </c>
      <c r="B25" s="210">
        <f t="shared" si="1"/>
        <v>53306319.244553111</v>
      </c>
      <c r="C25" s="210">
        <f t="shared" si="2"/>
        <v>16867730.498464279</v>
      </c>
      <c r="D25" s="210">
        <f t="shared" si="3"/>
        <v>36438588.746088833</v>
      </c>
      <c r="E25" s="210">
        <f t="shared" si="4"/>
        <v>88322731.508824497</v>
      </c>
      <c r="F25" s="210">
        <f t="shared" si="0"/>
        <v>195017327.4911755</v>
      </c>
    </row>
    <row r="26" spans="1:6" x14ac:dyDescent="0.2">
      <c r="A26" s="215">
        <v>9</v>
      </c>
      <c r="B26" s="210">
        <f t="shared" si="1"/>
        <v>53306319.244553111</v>
      </c>
      <c r="C26" s="210">
        <f t="shared" si="2"/>
        <v>11941233.299993072</v>
      </c>
      <c r="D26" s="210">
        <f t="shared" si="3"/>
        <v>41365085.944560036</v>
      </c>
      <c r="E26" s="210">
        <f t="shared" si="4"/>
        <v>46957645.564264461</v>
      </c>
      <c r="F26" s="210">
        <f t="shared" si="0"/>
        <v>236382413.43573552</v>
      </c>
    </row>
    <row r="27" spans="1:6" x14ac:dyDescent="0.2">
      <c r="A27" s="216">
        <v>10</v>
      </c>
      <c r="B27" s="210">
        <f t="shared" si="1"/>
        <v>53306319.244553111</v>
      </c>
      <c r="C27" s="210">
        <f t="shared" si="2"/>
        <v>6348673.6802885542</v>
      </c>
      <c r="D27" s="210">
        <f t="shared" si="3"/>
        <v>46957645.564264558</v>
      </c>
      <c r="E27" s="210">
        <f t="shared" si="4"/>
        <v>-9.6857547760009766E-8</v>
      </c>
      <c r="F27" s="210">
        <f t="shared" si="0"/>
        <v>283340059.00000006</v>
      </c>
    </row>
  </sheetData>
  <mergeCells count="4">
    <mergeCell ref="A2:A7"/>
    <mergeCell ref="D2:D7"/>
    <mergeCell ref="A9:B9"/>
    <mergeCell ref="A12:D12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1"/>
  <sheetViews>
    <sheetView zoomScaleNormal="100" workbookViewId="0">
      <selection activeCell="C20" sqref="C20"/>
    </sheetView>
  </sheetViews>
  <sheetFormatPr baseColWidth="10" defaultColWidth="11.42578125" defaultRowHeight="12.75" x14ac:dyDescent="0.2"/>
  <cols>
    <col min="1" max="1" width="18.5703125" style="1" bestFit="1" customWidth="1"/>
    <col min="2" max="6" width="13.42578125" style="1" bestFit="1" customWidth="1"/>
    <col min="7" max="7" width="13.7109375" style="1" customWidth="1"/>
    <col min="8" max="16384" width="11.42578125" style="1"/>
  </cols>
  <sheetData>
    <row r="2" spans="1:9" x14ac:dyDescent="0.2">
      <c r="A2" s="333" t="s">
        <v>69</v>
      </c>
      <c r="B2" s="333"/>
      <c r="C2" s="333"/>
      <c r="D2" s="333"/>
      <c r="E2" s="333"/>
      <c r="F2" s="333"/>
    </row>
    <row r="3" spans="1:9" x14ac:dyDescent="0.2">
      <c r="A3" s="91" t="s">
        <v>68</v>
      </c>
      <c r="B3" s="92" t="s">
        <v>36</v>
      </c>
      <c r="C3" s="92" t="s">
        <v>38</v>
      </c>
      <c r="D3" s="92" t="s">
        <v>39</v>
      </c>
      <c r="E3" s="92" t="s">
        <v>40</v>
      </c>
      <c r="F3" s="92" t="s">
        <v>41</v>
      </c>
    </row>
    <row r="4" spans="1:9" x14ac:dyDescent="0.2">
      <c r="A4" s="12" t="s">
        <v>68</v>
      </c>
      <c r="B4" s="5">
        <f>Inversiones!I19</f>
        <v>40934929.733333334</v>
      </c>
      <c r="C4" s="5">
        <f>Inversiones!J19</f>
        <v>40934929.733333334</v>
      </c>
      <c r="D4" s="5">
        <f>Inversiones!K19</f>
        <v>40934929.733333334</v>
      </c>
      <c r="E4" s="5">
        <f>Inversiones!L19</f>
        <v>40934929.733333334</v>
      </c>
      <c r="F4" s="5">
        <f>Inversiones!M19</f>
        <v>40934929.733333334</v>
      </c>
      <c r="G4" s="3"/>
    </row>
    <row r="5" spans="1:9" x14ac:dyDescent="0.2">
      <c r="A5" s="17" t="s">
        <v>0</v>
      </c>
      <c r="B5" s="31">
        <f>SUM(B4:B4)</f>
        <v>40934929.733333334</v>
      </c>
      <c r="C5" s="31">
        <f>SUM(C4:C4)</f>
        <v>40934929.733333334</v>
      </c>
      <c r="D5" s="31">
        <f>SUM(D4:D4)</f>
        <v>40934929.733333334</v>
      </c>
      <c r="E5" s="31">
        <f>SUM(E4:E4)</f>
        <v>40934929.733333334</v>
      </c>
      <c r="F5" s="31">
        <f>SUM(F4:F4)</f>
        <v>40934929.733333334</v>
      </c>
    </row>
    <row r="6" spans="1:9" x14ac:dyDescent="0.2">
      <c r="A6" s="19"/>
      <c r="B6" s="19"/>
      <c r="C6" s="19"/>
      <c r="D6" s="19"/>
      <c r="E6" s="19"/>
      <c r="F6" s="19"/>
    </row>
    <row r="8" spans="1:9" x14ac:dyDescent="0.2">
      <c r="A8" s="334" t="s">
        <v>9</v>
      </c>
      <c r="B8" s="335"/>
      <c r="C8" s="335"/>
      <c r="D8" s="335"/>
      <c r="E8" s="335"/>
      <c r="F8" s="335"/>
      <c r="G8" s="336"/>
    </row>
    <row r="9" spans="1:9" x14ac:dyDescent="0.2">
      <c r="A9" s="93" t="s">
        <v>47</v>
      </c>
      <c r="B9" s="94" t="s">
        <v>27</v>
      </c>
      <c r="C9" s="94" t="s">
        <v>36</v>
      </c>
      <c r="D9" s="94" t="s">
        <v>38</v>
      </c>
      <c r="E9" s="94" t="s">
        <v>39</v>
      </c>
      <c r="F9" s="94" t="s">
        <v>40</v>
      </c>
      <c r="G9" s="94" t="s">
        <v>41</v>
      </c>
    </row>
    <row r="10" spans="1:9" x14ac:dyDescent="0.2">
      <c r="A10" s="20" t="s">
        <v>14</v>
      </c>
      <c r="B10" s="21">
        <f>Inversiones!C31</f>
        <v>419700</v>
      </c>
      <c r="C10" s="7">
        <f>B10/5</f>
        <v>83940</v>
      </c>
      <c r="D10" s="7">
        <f>C10</f>
        <v>83940</v>
      </c>
      <c r="E10" s="7">
        <f t="shared" ref="E10:G10" si="0">D10</f>
        <v>83940</v>
      </c>
      <c r="F10" s="7">
        <f t="shared" si="0"/>
        <v>83940</v>
      </c>
      <c r="G10" s="7">
        <f t="shared" si="0"/>
        <v>83940</v>
      </c>
    </row>
    <row r="11" spans="1:9" x14ac:dyDescent="0.2">
      <c r="A11" s="22" t="s">
        <v>0</v>
      </c>
      <c r="B11" s="18">
        <f>SUM(B10:B10)</f>
        <v>419700</v>
      </c>
      <c r="C11" s="18">
        <f>SUM(C10:C10)</f>
        <v>83940</v>
      </c>
      <c r="D11" s="18">
        <f>SUM(D10:D10)</f>
        <v>83940</v>
      </c>
      <c r="E11" s="8">
        <f>SUM(E10:E10)</f>
        <v>83940</v>
      </c>
      <c r="F11" s="8">
        <f t="shared" ref="F11:G11" si="1">SUM(F10:F10)</f>
        <v>83940</v>
      </c>
      <c r="G11" s="8">
        <f t="shared" si="1"/>
        <v>83940</v>
      </c>
    </row>
    <row r="13" spans="1:9" x14ac:dyDescent="0.2">
      <c r="A13" s="337" t="s">
        <v>70</v>
      </c>
      <c r="B13" s="338"/>
      <c r="D13" s="3"/>
      <c r="E13" s="3"/>
      <c r="F13" s="3"/>
      <c r="G13" s="3"/>
      <c r="H13" s="3"/>
      <c r="I13" s="3"/>
    </row>
    <row r="14" spans="1:9" x14ac:dyDescent="0.2">
      <c r="A14" s="95" t="s">
        <v>71</v>
      </c>
      <c r="B14" s="96">
        <f>Inversiones!F23</f>
        <v>438209906</v>
      </c>
    </row>
    <row r="15" spans="1:9" x14ac:dyDescent="0.2">
      <c r="A15" s="23" t="s">
        <v>72</v>
      </c>
      <c r="B15" s="24">
        <f>B5</f>
        <v>40934929.733333334</v>
      </c>
    </row>
    <row r="16" spans="1:9" x14ac:dyDescent="0.2">
      <c r="A16" s="23" t="s">
        <v>73</v>
      </c>
      <c r="B16" s="24">
        <f>C5</f>
        <v>40934929.733333334</v>
      </c>
    </row>
    <row r="17" spans="1:2" x14ac:dyDescent="0.2">
      <c r="A17" s="23" t="s">
        <v>74</v>
      </c>
      <c r="B17" s="24">
        <f>D5</f>
        <v>40934929.733333334</v>
      </c>
    </row>
    <row r="18" spans="1:2" x14ac:dyDescent="0.2">
      <c r="A18" s="23" t="s">
        <v>75</v>
      </c>
      <c r="B18" s="24">
        <f>E5</f>
        <v>40934929.733333334</v>
      </c>
    </row>
    <row r="19" spans="1:2" x14ac:dyDescent="0.2">
      <c r="A19" s="23" t="s">
        <v>76</v>
      </c>
      <c r="B19" s="24">
        <f>F5</f>
        <v>40934929.733333334</v>
      </c>
    </row>
    <row r="20" spans="1:2" x14ac:dyDescent="0.2">
      <c r="A20" s="25" t="s">
        <v>77</v>
      </c>
      <c r="B20" s="26">
        <f>SUM(B15:B19)</f>
        <v>204674648.66666669</v>
      </c>
    </row>
    <row r="21" spans="1:2" x14ac:dyDescent="0.2">
      <c r="A21" s="6" t="s">
        <v>70</v>
      </c>
      <c r="B21" s="16">
        <f>B14-B20</f>
        <v>233535257.33333331</v>
      </c>
    </row>
  </sheetData>
  <mergeCells count="3">
    <mergeCell ref="A2:F2"/>
    <mergeCell ref="A8:G8"/>
    <mergeCell ref="A13:B13"/>
  </mergeCells>
  <phoneticPr fontId="2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3"/>
  <sheetViews>
    <sheetView showGridLines="0" topLeftCell="G1" zoomScaleNormal="100" workbookViewId="0">
      <selection activeCell="P22" sqref="P22"/>
    </sheetView>
  </sheetViews>
  <sheetFormatPr baseColWidth="10" defaultColWidth="11.42578125" defaultRowHeight="12" customHeight="1" x14ac:dyDescent="0.25"/>
  <cols>
    <col min="1" max="1" width="21.140625" customWidth="1"/>
    <col min="2" max="2" width="39" customWidth="1"/>
    <col min="3" max="4" width="19.85546875" bestFit="1" customWidth="1"/>
    <col min="5" max="5" width="25.42578125" bestFit="1" customWidth="1"/>
    <col min="6" max="6" width="29.28515625" bestFit="1" customWidth="1"/>
    <col min="7" max="7" width="19.85546875" bestFit="1" customWidth="1"/>
    <col min="8" max="10" width="18.28515625" bestFit="1" customWidth="1"/>
    <col min="11" max="12" width="15.28515625" customWidth="1"/>
  </cols>
  <sheetData>
    <row r="1" spans="1:17" ht="15" x14ac:dyDescent="0.25">
      <c r="B1" s="32"/>
      <c r="C1" s="32"/>
      <c r="D1" s="32"/>
      <c r="E1" s="32"/>
      <c r="F1" s="157"/>
      <c r="G1" s="32"/>
      <c r="H1" s="32"/>
      <c r="I1" s="32"/>
      <c r="J1" s="32"/>
    </row>
    <row r="2" spans="1:17" ht="15" x14ac:dyDescent="0.25">
      <c r="A2" s="107" t="s">
        <v>179</v>
      </c>
      <c r="B2" s="107" t="s">
        <v>103</v>
      </c>
      <c r="C2" s="107" t="s">
        <v>27</v>
      </c>
      <c r="D2" s="121" t="s">
        <v>67</v>
      </c>
      <c r="E2" s="121" t="s">
        <v>226</v>
      </c>
      <c r="F2" s="155" t="s">
        <v>36</v>
      </c>
      <c r="G2" s="155" t="s">
        <v>38</v>
      </c>
      <c r="H2" s="155" t="s">
        <v>39</v>
      </c>
      <c r="I2" s="155" t="s">
        <v>40</v>
      </c>
      <c r="J2" s="155" t="s">
        <v>41</v>
      </c>
      <c r="K2" s="32"/>
      <c r="L2" s="153" t="s">
        <v>63</v>
      </c>
      <c r="M2" s="158">
        <v>0.122</v>
      </c>
    </row>
    <row r="3" spans="1:17" ht="15" x14ac:dyDescent="0.25">
      <c r="A3" s="297" t="s">
        <v>224</v>
      </c>
      <c r="B3" s="33" t="s">
        <v>225</v>
      </c>
      <c r="C3" s="250">
        <f>+((ROUND(228581537.054999,0))*E3)-(E4*0.1)</f>
        <v>1001187132.0333333</v>
      </c>
      <c r="D3" s="251">
        <v>5</v>
      </c>
      <c r="E3" s="307">
        <v>4.8666666666666663</v>
      </c>
      <c r="F3" s="178">
        <f>E4*(1+$F$1)+((0.35*E4))</f>
        <v>1501780698.45</v>
      </c>
      <c r="G3" s="178">
        <f>F3*(1+$M$2)</f>
        <v>1684997943.6608999</v>
      </c>
      <c r="H3" s="178">
        <f t="shared" ref="H3" si="0">G3*(1+$M$2)</f>
        <v>1890567692.7875295</v>
      </c>
      <c r="I3" s="178">
        <f t="shared" ref="I3" si="1">H3*(1+$M$2)</f>
        <v>2121216951.3076079</v>
      </c>
      <c r="J3" s="178">
        <f t="shared" ref="J3" si="2">I3*(1+$M$2)</f>
        <v>2380005419.367136</v>
      </c>
      <c r="K3" s="32"/>
    </row>
    <row r="4" spans="1:17" ht="15" x14ac:dyDescent="0.25">
      <c r="B4" s="32"/>
      <c r="C4" s="248"/>
      <c r="D4" s="249"/>
      <c r="E4" s="129">
        <f>+ROUND(1112430146.73333,0)</f>
        <v>1112430147</v>
      </c>
      <c r="F4" s="125"/>
      <c r="G4" s="125"/>
      <c r="H4" s="32"/>
      <c r="I4" s="32"/>
      <c r="J4" s="32"/>
      <c r="K4" s="32"/>
    </row>
    <row r="5" spans="1:17" ht="15" x14ac:dyDescent="0.25">
      <c r="B5" s="59" t="s">
        <v>180</v>
      </c>
      <c r="C5" s="120">
        <v>1160472</v>
      </c>
      <c r="D5" s="109"/>
      <c r="F5" s="130"/>
      <c r="G5" s="130"/>
      <c r="J5" s="32"/>
      <c r="K5" s="32"/>
    </row>
    <row r="6" spans="1:17" ht="15" x14ac:dyDescent="0.25">
      <c r="B6" s="59" t="s">
        <v>100</v>
      </c>
      <c r="C6" s="120">
        <f>$C$5*D6</f>
        <v>871514.47199999995</v>
      </c>
      <c r="D6" s="109">
        <v>0.751</v>
      </c>
      <c r="E6" s="129"/>
      <c r="F6" s="130"/>
      <c r="G6" s="32"/>
      <c r="H6" s="64" t="s">
        <v>49</v>
      </c>
      <c r="I6" s="64" t="s">
        <v>50</v>
      </c>
      <c r="J6" s="64" t="s">
        <v>51</v>
      </c>
    </row>
    <row r="7" spans="1:17" ht="15" x14ac:dyDescent="0.25">
      <c r="B7" s="59" t="s">
        <v>181</v>
      </c>
      <c r="C7" s="120">
        <f>C6*D7</f>
        <v>588272.26859999995</v>
      </c>
      <c r="D7" s="109">
        <v>0.67500000000000004</v>
      </c>
      <c r="E7" s="129"/>
      <c r="F7" s="130"/>
      <c r="G7" s="63" t="s">
        <v>105</v>
      </c>
      <c r="H7" s="61">
        <v>5.8500000000000003E-2</v>
      </c>
      <c r="I7" s="61">
        <v>7.8E-2</v>
      </c>
      <c r="J7" s="61">
        <v>1.7999999999999999E-2</v>
      </c>
    </row>
    <row r="8" spans="1:17" ht="15" x14ac:dyDescent="0.25">
      <c r="E8" s="129"/>
      <c r="F8" s="130"/>
      <c r="G8" s="130"/>
      <c r="I8" s="125"/>
      <c r="J8" s="32"/>
      <c r="K8" s="32"/>
    </row>
    <row r="9" spans="1:17" ht="15" x14ac:dyDescent="0.25">
      <c r="E9" s="32"/>
      <c r="J9" s="32"/>
    </row>
    <row r="10" spans="1:17" ht="15" x14ac:dyDescent="0.25">
      <c r="B10" s="59" t="s">
        <v>104</v>
      </c>
      <c r="C10" s="159">
        <v>7.1000000000000002E-4</v>
      </c>
      <c r="E10" s="32"/>
      <c r="J10" s="32"/>
    </row>
    <row r="11" spans="1:17" ht="15" x14ac:dyDescent="0.25">
      <c r="E11" s="32"/>
      <c r="J11" s="32"/>
    </row>
    <row r="12" spans="1:17" ht="15" x14ac:dyDescent="0.25">
      <c r="B12" s="152" t="s">
        <v>101</v>
      </c>
      <c r="C12" s="154" t="s">
        <v>16</v>
      </c>
      <c r="E12" s="32"/>
      <c r="J12" s="32"/>
    </row>
    <row r="13" spans="1:17" ht="15" x14ac:dyDescent="0.25">
      <c r="E13" s="32"/>
      <c r="J13" s="32"/>
    </row>
    <row r="14" spans="1:17" ht="12.75" customHeight="1" x14ac:dyDescent="0.25">
      <c r="B14" s="66"/>
      <c r="C14" s="351" t="s">
        <v>49</v>
      </c>
      <c r="D14" s="352"/>
      <c r="E14" s="352"/>
      <c r="F14" s="352"/>
      <c r="G14" s="353"/>
      <c r="H14" s="348" t="s">
        <v>50</v>
      </c>
      <c r="I14" s="349"/>
      <c r="J14" s="349"/>
      <c r="K14" s="349"/>
      <c r="L14" s="350"/>
      <c r="M14" s="339" t="s">
        <v>51</v>
      </c>
      <c r="N14" s="340"/>
      <c r="O14" s="340"/>
      <c r="P14" s="340"/>
      <c r="Q14" s="341"/>
    </row>
    <row r="15" spans="1:17" ht="15" x14ac:dyDescent="0.25">
      <c r="A15" s="70" t="s">
        <v>179</v>
      </c>
      <c r="B15" s="70" t="s">
        <v>102</v>
      </c>
      <c r="C15" s="70" t="s">
        <v>36</v>
      </c>
      <c r="D15" s="70" t="s">
        <v>38</v>
      </c>
      <c r="E15" s="70" t="s">
        <v>39</v>
      </c>
      <c r="F15" s="70" t="s">
        <v>40</v>
      </c>
      <c r="G15" s="70" t="s">
        <v>41</v>
      </c>
      <c r="H15" s="71" t="s">
        <v>36</v>
      </c>
      <c r="I15" s="71" t="s">
        <v>38</v>
      </c>
      <c r="J15" s="71" t="s">
        <v>39</v>
      </c>
      <c r="K15" s="71" t="s">
        <v>40</v>
      </c>
      <c r="L15" s="71" t="s">
        <v>41</v>
      </c>
      <c r="M15" s="72" t="s">
        <v>36</v>
      </c>
      <c r="N15" s="72" t="s">
        <v>38</v>
      </c>
      <c r="O15" s="72" t="s">
        <v>39</v>
      </c>
      <c r="P15" s="72" t="s">
        <v>40</v>
      </c>
      <c r="Q15" s="72" t="s">
        <v>41</v>
      </c>
    </row>
    <row r="16" spans="1:17" ht="12" customHeight="1" x14ac:dyDescent="0.25">
      <c r="A16" s="342" t="str">
        <f>+A3</f>
        <v xml:space="preserve">Inventario </v>
      </c>
      <c r="B16" s="122" t="str">
        <f>B3</f>
        <v xml:space="preserve">Base de datos inventario total </v>
      </c>
      <c r="C16" s="302">
        <v>1</v>
      </c>
      <c r="D16" s="303">
        <f t="shared" ref="D16" si="3">C16+(C16*$H$7)</f>
        <v>1.0585</v>
      </c>
      <c r="E16" s="303">
        <f t="shared" ref="E16" si="4">D16+(D16*$H$7)</f>
        <v>1.1204222500000001</v>
      </c>
      <c r="F16" s="303">
        <f t="shared" ref="F16:G16" si="5">E16+(E16*$H$7)</f>
        <v>1.185966951625</v>
      </c>
      <c r="G16" s="303">
        <f t="shared" si="5"/>
        <v>1.2553460182950624</v>
      </c>
      <c r="H16" s="304">
        <f t="shared" ref="H16" si="6">C16</f>
        <v>1</v>
      </c>
      <c r="I16" s="303">
        <f t="shared" ref="I16" si="7">H16+(H16*$I$7)</f>
        <v>1.0780000000000001</v>
      </c>
      <c r="J16" s="303">
        <f t="shared" ref="J16" si="8">I16+(I16*$I$7)</f>
        <v>1.1620840000000001</v>
      </c>
      <c r="K16" s="303">
        <f t="shared" ref="K16" si="9">J16+(J16*$I$7)</f>
        <v>1.2527265520000002</v>
      </c>
      <c r="L16" s="303">
        <f t="shared" ref="L16" si="10">K16+(K16*$I$7)</f>
        <v>1.3504392230560001</v>
      </c>
      <c r="M16" s="304">
        <f t="shared" ref="M16" si="11">H16</f>
        <v>1</v>
      </c>
      <c r="N16" s="303">
        <f t="shared" ref="N16" si="12">M16+(M16*$J$7)</f>
        <v>1.018</v>
      </c>
      <c r="O16" s="303">
        <f t="shared" ref="O16" si="13">N16+(N16*$J$7)</f>
        <v>1.036324</v>
      </c>
      <c r="P16" s="303">
        <f t="shared" ref="P16" si="14">O16+(O16*$J$7)</f>
        <v>1.0549778320000001</v>
      </c>
      <c r="Q16" s="303">
        <f t="shared" ref="Q16" si="15">P16+(P16*$J$7)</f>
        <v>1.0739674329760001</v>
      </c>
    </row>
    <row r="17" spans="1:17" ht="12" customHeight="1" x14ac:dyDescent="0.25">
      <c r="A17" s="342"/>
      <c r="B17" s="60" t="s">
        <v>6</v>
      </c>
      <c r="C17" s="305">
        <f t="shared" ref="C17:Q17" si="16">SUM(C16:C16)</f>
        <v>1</v>
      </c>
      <c r="D17" s="306">
        <f t="shared" si="16"/>
        <v>1.0585</v>
      </c>
      <c r="E17" s="306">
        <f t="shared" si="16"/>
        <v>1.1204222500000001</v>
      </c>
      <c r="F17" s="306">
        <f t="shared" si="16"/>
        <v>1.185966951625</v>
      </c>
      <c r="G17" s="306">
        <f t="shared" si="16"/>
        <v>1.2553460182950624</v>
      </c>
      <c r="H17" s="305">
        <f t="shared" si="16"/>
        <v>1</v>
      </c>
      <c r="I17" s="306">
        <f t="shared" si="16"/>
        <v>1.0780000000000001</v>
      </c>
      <c r="J17" s="306">
        <f t="shared" si="16"/>
        <v>1.1620840000000001</v>
      </c>
      <c r="K17" s="306">
        <f t="shared" si="16"/>
        <v>1.2527265520000002</v>
      </c>
      <c r="L17" s="306">
        <f t="shared" si="16"/>
        <v>1.3504392230560001</v>
      </c>
      <c r="M17" s="305">
        <f t="shared" si="16"/>
        <v>1</v>
      </c>
      <c r="N17" s="306">
        <f t="shared" si="16"/>
        <v>1.018</v>
      </c>
      <c r="O17" s="306">
        <f t="shared" si="16"/>
        <v>1.036324</v>
      </c>
      <c r="P17" s="306">
        <f t="shared" si="16"/>
        <v>1.0549778320000001</v>
      </c>
      <c r="Q17" s="306">
        <f t="shared" si="16"/>
        <v>1.0739674329760001</v>
      </c>
    </row>
    <row r="18" spans="1:17" ht="12" customHeight="1" x14ac:dyDescent="0.25">
      <c r="B18" s="67"/>
      <c r="C18" s="68">
        <f>C17/12</f>
        <v>8.3333333333333329E-2</v>
      </c>
      <c r="D18" s="69"/>
      <c r="E18" s="149"/>
      <c r="F18" s="69"/>
      <c r="G18" s="149"/>
    </row>
    <row r="19" spans="1:17" ht="12" customHeight="1" x14ac:dyDescent="0.25">
      <c r="B19" s="32"/>
      <c r="C19" s="32"/>
      <c r="D19" s="32"/>
      <c r="E19" s="32"/>
      <c r="F19" s="32"/>
      <c r="G19" s="32"/>
      <c r="H19" s="188"/>
      <c r="I19" s="189"/>
      <c r="J19" s="32"/>
    </row>
    <row r="20" spans="1:17" ht="12" customHeight="1" x14ac:dyDescent="0.25">
      <c r="B20" s="179"/>
      <c r="C20" s="179"/>
      <c r="D20" s="179"/>
      <c r="E20" s="179"/>
      <c r="F20" s="179"/>
      <c r="G20" s="182"/>
      <c r="H20" s="190"/>
      <c r="I20" s="190"/>
      <c r="J20" s="190"/>
      <c r="K20" s="190"/>
      <c r="L20" s="190"/>
    </row>
    <row r="21" spans="1:17" ht="12" customHeight="1" x14ac:dyDescent="0.25">
      <c r="B21" s="356" t="s">
        <v>102</v>
      </c>
      <c r="C21" s="352" t="s">
        <v>88</v>
      </c>
      <c r="D21" s="352"/>
      <c r="E21" s="352"/>
      <c r="F21" s="352"/>
      <c r="G21" s="352"/>
      <c r="H21" s="343"/>
      <c r="I21" s="343"/>
      <c r="J21" s="343"/>
      <c r="K21" s="343"/>
      <c r="L21" s="343"/>
    </row>
    <row r="22" spans="1:17" ht="12" customHeight="1" x14ac:dyDescent="0.25">
      <c r="B22" s="356"/>
      <c r="C22" s="128" t="s">
        <v>36</v>
      </c>
      <c r="D22" s="73" t="s">
        <v>38</v>
      </c>
      <c r="E22" s="73" t="s">
        <v>39</v>
      </c>
      <c r="F22" s="73" t="s">
        <v>40</v>
      </c>
      <c r="G22" s="183" t="s">
        <v>41</v>
      </c>
      <c r="H22" s="191"/>
      <c r="I22" s="191"/>
      <c r="J22" s="191"/>
      <c r="K22" s="191"/>
      <c r="L22" s="191"/>
    </row>
    <row r="23" spans="1:17" ht="12" customHeight="1" x14ac:dyDescent="0.25">
      <c r="B23" s="126" t="str">
        <f>B16</f>
        <v xml:space="preserve">Base de datos inventario total </v>
      </c>
      <c r="C23" s="178">
        <f>C16*F3</f>
        <v>1501780698.45</v>
      </c>
      <c r="D23" s="178">
        <f>D16*G3</f>
        <v>1783570323.3650625</v>
      </c>
      <c r="E23" s="178">
        <f>E16*H3</f>
        <v>2118234108.1303127</v>
      </c>
      <c r="F23" s="178">
        <f>F16*I3</f>
        <v>2515693201.4775596</v>
      </c>
      <c r="G23" s="184">
        <f>G16*J3</f>
        <v>2987730326.7232046</v>
      </c>
      <c r="H23" s="192"/>
      <c r="I23" s="192"/>
      <c r="J23" s="192"/>
      <c r="K23" s="192"/>
      <c r="L23" s="192"/>
    </row>
    <row r="24" spans="1:17" ht="12" customHeight="1" x14ac:dyDescent="0.25">
      <c r="B24" s="156" t="s">
        <v>6</v>
      </c>
      <c r="C24" s="178">
        <f>SUM(C23:C23)</f>
        <v>1501780698.45</v>
      </c>
      <c r="D24" s="178">
        <f>SUM(D23:D23)</f>
        <v>1783570323.3650625</v>
      </c>
      <c r="E24" s="178">
        <f>SUM(E23:E23)</f>
        <v>2118234108.1303127</v>
      </c>
      <c r="F24" s="178">
        <f>SUM(F23:F23)</f>
        <v>2515693201.4775596</v>
      </c>
      <c r="G24" s="184">
        <f>SUM(G23:G23)</f>
        <v>2987730326.7232046</v>
      </c>
      <c r="H24" s="192"/>
      <c r="I24" s="192"/>
      <c r="J24" s="192"/>
      <c r="K24" s="192"/>
      <c r="L24" s="192"/>
    </row>
    <row r="25" spans="1:17" ht="12" customHeight="1" x14ac:dyDescent="0.25">
      <c r="B25" s="58"/>
      <c r="C25" s="58"/>
      <c r="D25" s="58"/>
      <c r="E25" s="58"/>
      <c r="F25" s="58"/>
      <c r="G25" s="58"/>
      <c r="H25" s="32"/>
      <c r="I25" s="32"/>
      <c r="J25" s="32"/>
    </row>
    <row r="26" spans="1:17" ht="12" customHeight="1" x14ac:dyDescent="0.25">
      <c r="B26" s="180"/>
      <c r="C26" s="180"/>
      <c r="D26" s="180"/>
      <c r="E26" s="180"/>
      <c r="F26" s="180"/>
      <c r="G26" s="185"/>
      <c r="H26" s="190"/>
      <c r="I26" s="190"/>
      <c r="J26" s="190"/>
      <c r="K26" s="190"/>
      <c r="L26" s="190"/>
    </row>
    <row r="27" spans="1:17" ht="12" customHeight="1" x14ac:dyDescent="0.25">
      <c r="B27" s="346" t="s">
        <v>48</v>
      </c>
      <c r="C27" s="344" t="s">
        <v>88</v>
      </c>
      <c r="D27" s="344"/>
      <c r="E27" s="344"/>
      <c r="F27" s="344"/>
      <c r="G27" s="345"/>
      <c r="H27" s="343"/>
      <c r="I27" s="343"/>
      <c r="J27" s="343"/>
      <c r="K27" s="343"/>
      <c r="L27" s="343"/>
    </row>
    <row r="28" spans="1:17" ht="12" customHeight="1" x14ac:dyDescent="0.25">
      <c r="B28" s="347"/>
      <c r="C28" s="123" t="s">
        <v>36</v>
      </c>
      <c r="D28" s="123" t="s">
        <v>38</v>
      </c>
      <c r="E28" s="123" t="s">
        <v>39</v>
      </c>
      <c r="F28" s="123" t="s">
        <v>40</v>
      </c>
      <c r="G28" s="186" t="s">
        <v>41</v>
      </c>
      <c r="H28" s="191"/>
      <c r="I28" s="191"/>
      <c r="J28" s="191"/>
      <c r="K28" s="191"/>
      <c r="L28" s="191"/>
    </row>
    <row r="29" spans="1:17" ht="12" customHeight="1" x14ac:dyDescent="0.25">
      <c r="B29" s="127" t="str">
        <f t="shared" ref="B29" si="17">B23</f>
        <v xml:space="preserve">Base de datos inventario total </v>
      </c>
      <c r="C29" s="178">
        <f>H16*F3</f>
        <v>1501780698.45</v>
      </c>
      <c r="D29" s="178">
        <f>I16*G3</f>
        <v>1816427783.2664502</v>
      </c>
      <c r="E29" s="178">
        <f>J16*H3</f>
        <v>2196998466.7053037</v>
      </c>
      <c r="F29" s="178">
        <f>K16*I3</f>
        <v>2657304797.4555321</v>
      </c>
      <c r="G29" s="184">
        <f>L16*J3</f>
        <v>3214052669.3992248</v>
      </c>
      <c r="H29" s="192"/>
      <c r="I29" s="192"/>
      <c r="J29" s="192"/>
      <c r="K29" s="192"/>
      <c r="L29" s="192"/>
    </row>
    <row r="30" spans="1:17" ht="12" customHeight="1" x14ac:dyDescent="0.25">
      <c r="B30" s="156" t="s">
        <v>6</v>
      </c>
      <c r="C30" s="178">
        <f>SUM(C29:C29)</f>
        <v>1501780698.45</v>
      </c>
      <c r="D30" s="178">
        <f>SUM(D29:D29)</f>
        <v>1816427783.2664502</v>
      </c>
      <c r="E30" s="178">
        <f>SUM(E29:E29)</f>
        <v>2196998466.7053037</v>
      </c>
      <c r="F30" s="178">
        <f>SUM(F29:F29)</f>
        <v>2657304797.4555321</v>
      </c>
      <c r="G30" s="184">
        <f>SUM(G29:G29)</f>
        <v>3214052669.3992248</v>
      </c>
      <c r="H30" s="192"/>
      <c r="I30" s="192"/>
      <c r="J30" s="192"/>
      <c r="K30" s="192"/>
      <c r="L30" s="192"/>
    </row>
    <row r="31" spans="1:17" ht="12" customHeight="1" x14ac:dyDescent="0.25">
      <c r="B31" s="65"/>
      <c r="C31" s="65"/>
      <c r="D31" s="65"/>
      <c r="E31" s="65"/>
      <c r="F31" s="65"/>
      <c r="G31" s="32"/>
      <c r="H31" s="32"/>
      <c r="I31" s="32"/>
      <c r="J31" s="32"/>
    </row>
    <row r="32" spans="1:17" ht="12" customHeight="1" x14ac:dyDescent="0.25">
      <c r="B32" s="181"/>
      <c r="C32" s="181"/>
      <c r="D32" s="181"/>
      <c r="E32" s="181"/>
      <c r="F32" s="181"/>
      <c r="G32" s="181"/>
      <c r="H32" s="190"/>
      <c r="I32" s="190"/>
      <c r="J32" s="190"/>
      <c r="K32" s="190"/>
      <c r="L32" s="190"/>
    </row>
    <row r="33" spans="2:12" ht="12" customHeight="1" x14ac:dyDescent="0.25">
      <c r="B33" s="354" t="s">
        <v>48</v>
      </c>
      <c r="C33" s="340" t="s">
        <v>88</v>
      </c>
      <c r="D33" s="340"/>
      <c r="E33" s="340"/>
      <c r="F33" s="340"/>
      <c r="G33" s="340"/>
      <c r="H33" s="343"/>
      <c r="I33" s="343"/>
      <c r="J33" s="343"/>
      <c r="K33" s="343"/>
      <c r="L33" s="343"/>
    </row>
    <row r="34" spans="2:12" ht="12" customHeight="1" x14ac:dyDescent="0.25">
      <c r="B34" s="355"/>
      <c r="C34" s="74" t="s">
        <v>36</v>
      </c>
      <c r="D34" s="74" t="s">
        <v>38</v>
      </c>
      <c r="E34" s="74" t="s">
        <v>39</v>
      </c>
      <c r="F34" s="74" t="s">
        <v>40</v>
      </c>
      <c r="G34" s="187" t="s">
        <v>41</v>
      </c>
      <c r="H34" s="193"/>
      <c r="I34" s="193"/>
      <c r="J34" s="193"/>
      <c r="K34" s="193"/>
      <c r="L34" s="193"/>
    </row>
    <row r="35" spans="2:12" ht="12" customHeight="1" x14ac:dyDescent="0.25">
      <c r="B35" s="127" t="str">
        <f t="shared" ref="B35" si="18">B23</f>
        <v xml:space="preserve">Base de datos inventario total </v>
      </c>
      <c r="C35" s="178">
        <f>M16*F3</f>
        <v>1501780698.45</v>
      </c>
      <c r="D35" s="178">
        <f>N16*G3</f>
        <v>1715327906.646796</v>
      </c>
      <c r="E35" s="178">
        <f>O16*H3</f>
        <v>1959240673.6603436</v>
      </c>
      <c r="F35" s="178">
        <f>P16*I3</f>
        <v>2237836860.4921498</v>
      </c>
      <c r="G35" s="184">
        <f>Q16*J3</f>
        <v>2556048310.7066917</v>
      </c>
      <c r="H35" s="192"/>
      <c r="I35" s="192"/>
      <c r="J35" s="192"/>
      <c r="K35" s="192"/>
      <c r="L35" s="192"/>
    </row>
    <row r="36" spans="2:12" ht="12" customHeight="1" x14ac:dyDescent="0.25">
      <c r="B36" s="156" t="s">
        <v>6</v>
      </c>
      <c r="C36" s="178">
        <f>SUM(C35:C35)</f>
        <v>1501780698.45</v>
      </c>
      <c r="D36" s="178">
        <f>SUM(D35:D35)</f>
        <v>1715327906.646796</v>
      </c>
      <c r="E36" s="178">
        <f>SUM(E35:E35)</f>
        <v>1959240673.6603436</v>
      </c>
      <c r="F36" s="178">
        <f>SUM(F35:F35)</f>
        <v>2237836860.4921498</v>
      </c>
      <c r="G36" s="184">
        <f>SUM(G35:G35)</f>
        <v>2556048310.7066917</v>
      </c>
      <c r="H36" s="192"/>
      <c r="I36" s="192"/>
      <c r="J36" s="192"/>
      <c r="K36" s="192"/>
      <c r="L36" s="192"/>
    </row>
    <row r="37" spans="2:12" ht="12" customHeight="1" x14ac:dyDescent="0.25">
      <c r="B37" s="58"/>
      <c r="C37" s="58"/>
      <c r="D37" s="58"/>
      <c r="E37" s="58"/>
      <c r="F37" s="58"/>
      <c r="G37" s="32"/>
      <c r="H37" s="32"/>
      <c r="I37" s="32"/>
      <c r="J37" s="32"/>
    </row>
    <row r="38" spans="2:12" ht="12" customHeight="1" x14ac:dyDescent="0.25">
      <c r="B38" s="32"/>
      <c r="C38" s="32"/>
      <c r="D38" s="32"/>
      <c r="E38" s="32"/>
      <c r="F38" s="32"/>
      <c r="G38" s="32"/>
      <c r="H38" s="32"/>
      <c r="I38" s="32"/>
      <c r="J38" s="32"/>
    </row>
    <row r="39" spans="2:12" ht="12" customHeight="1" x14ac:dyDescent="0.25">
      <c r="B39" s="41"/>
      <c r="C39" s="41"/>
      <c r="D39" s="41"/>
      <c r="E39" s="41"/>
      <c r="F39" s="41"/>
      <c r="G39" s="32"/>
      <c r="H39" s="32"/>
      <c r="I39" s="32"/>
      <c r="J39" s="32"/>
    </row>
    <row r="40" spans="2:12" ht="12" customHeight="1" x14ac:dyDescent="0.25">
      <c r="B40" s="32"/>
      <c r="C40" s="32"/>
      <c r="D40" s="32"/>
      <c r="E40" s="32"/>
      <c r="F40" s="32"/>
      <c r="G40" s="32"/>
      <c r="H40" s="32"/>
      <c r="I40" s="32"/>
      <c r="J40" s="32"/>
    </row>
    <row r="41" spans="2:12" ht="12" customHeight="1" x14ac:dyDescent="0.25">
      <c r="B41" s="32"/>
      <c r="C41" s="32"/>
      <c r="D41" s="32"/>
      <c r="E41" s="32"/>
      <c r="F41" s="32"/>
      <c r="G41" s="32"/>
      <c r="H41" s="32"/>
      <c r="I41" s="32"/>
      <c r="J41" s="32"/>
    </row>
    <row r="42" spans="2:12" ht="12" customHeight="1" x14ac:dyDescent="0.25">
      <c r="B42" s="32"/>
      <c r="C42" s="32"/>
      <c r="D42" s="32"/>
      <c r="E42" s="32"/>
      <c r="F42" s="32"/>
      <c r="G42" s="32"/>
      <c r="H42" s="32"/>
      <c r="I42" s="32"/>
      <c r="J42" s="32"/>
    </row>
    <row r="43" spans="2:12" ht="12" customHeight="1" x14ac:dyDescent="0.25">
      <c r="B43" s="32"/>
      <c r="C43" s="32"/>
      <c r="D43" s="32"/>
      <c r="E43" s="32"/>
      <c r="F43" s="32"/>
      <c r="G43" s="32"/>
      <c r="H43" s="32"/>
      <c r="I43" s="32"/>
      <c r="J43" s="32"/>
    </row>
  </sheetData>
  <mergeCells count="13">
    <mergeCell ref="C33:G33"/>
    <mergeCell ref="H33:L33"/>
    <mergeCell ref="B33:B34"/>
    <mergeCell ref="C21:G21"/>
    <mergeCell ref="H21:L21"/>
    <mergeCell ref="B21:B22"/>
    <mergeCell ref="M14:Q14"/>
    <mergeCell ref="A16:A17"/>
    <mergeCell ref="H27:L27"/>
    <mergeCell ref="C27:G27"/>
    <mergeCell ref="B27:B28"/>
    <mergeCell ref="H14:L14"/>
    <mergeCell ref="C14:G14"/>
  </mergeCells>
  <phoneticPr fontId="20" type="noConversion"/>
  <pageMargins left="0.7" right="0.7" top="0.75" bottom="0.75" header="0.3" footer="0.3"/>
  <pageSetup orientation="portrait" horizontalDpi="203" verticalDpi="196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60"/>
  <sheetViews>
    <sheetView topLeftCell="A36" zoomScale="89" zoomScaleNormal="89" workbookViewId="0">
      <selection activeCell="B55" sqref="B55:G60"/>
    </sheetView>
  </sheetViews>
  <sheetFormatPr baseColWidth="10" defaultColWidth="11.42578125" defaultRowHeight="12" customHeight="1" x14ac:dyDescent="0.25"/>
  <cols>
    <col min="1" max="1" width="14" style="32" bestFit="1" customWidth="1"/>
    <col min="2" max="2" width="28.5703125" style="32" bestFit="1" customWidth="1"/>
    <col min="3" max="4" width="18.5703125" style="32" bestFit="1" customWidth="1"/>
    <col min="5" max="7" width="18.7109375" style="32" bestFit="1" customWidth="1"/>
    <col min="8" max="8" width="11.42578125" style="32"/>
    <col min="9" max="10" width="9" style="32" bestFit="1" customWidth="1"/>
    <col min="11" max="11" width="7.28515625" style="32" bestFit="1" customWidth="1"/>
    <col min="12" max="16384" width="11.42578125" style="32"/>
  </cols>
  <sheetData>
    <row r="2" spans="2:11" ht="12" customHeight="1" x14ac:dyDescent="0.25">
      <c r="B2" s="368" t="s">
        <v>34</v>
      </c>
      <c r="C2" s="368"/>
      <c r="D2" s="368"/>
      <c r="E2" s="368"/>
    </row>
    <row r="3" spans="2:11" ht="12" customHeight="1" x14ac:dyDescent="0.25">
      <c r="B3" s="133" t="s">
        <v>32</v>
      </c>
      <c r="C3" s="133" t="s">
        <v>26</v>
      </c>
      <c r="D3" s="133" t="s">
        <v>33</v>
      </c>
      <c r="E3" s="133" t="s">
        <v>35</v>
      </c>
    </row>
    <row r="4" spans="2:11" ht="12" customHeight="1" x14ac:dyDescent="0.25">
      <c r="B4" s="33" t="s">
        <v>2</v>
      </c>
      <c r="C4" s="34">
        <v>1</v>
      </c>
      <c r="D4" s="194">
        <v>3200000</v>
      </c>
      <c r="E4" s="194">
        <f>D4/30</f>
        <v>106666.66666666667</v>
      </c>
      <c r="G4" s="132"/>
    </row>
    <row r="5" spans="2:11" ht="12" customHeight="1" x14ac:dyDescent="0.25">
      <c r="B5" s="33" t="s">
        <v>165</v>
      </c>
      <c r="C5" s="34">
        <v>3</v>
      </c>
      <c r="D5" s="194">
        <v>2400000</v>
      </c>
      <c r="E5" s="194">
        <f t="shared" ref="E5:E6" si="0">D5/30</f>
        <v>80000</v>
      </c>
      <c r="G5" s="132"/>
    </row>
    <row r="6" spans="2:11" ht="12" customHeight="1" x14ac:dyDescent="0.25">
      <c r="B6" s="33" t="s">
        <v>163</v>
      </c>
      <c r="C6" s="36">
        <v>1</v>
      </c>
      <c r="D6" s="195">
        <v>1850000</v>
      </c>
      <c r="E6" s="194">
        <f t="shared" si="0"/>
        <v>61666.666666666664</v>
      </c>
      <c r="G6" s="132"/>
      <c r="I6" s="150">
        <v>16875</v>
      </c>
      <c r="J6" s="150">
        <v>10700</v>
      </c>
      <c r="K6" s="35">
        <f>(I6-J6)/I6</f>
        <v>0.36592592592592593</v>
      </c>
    </row>
    <row r="7" spans="2:11" ht="12" customHeight="1" x14ac:dyDescent="0.25">
      <c r="B7" s="37" t="s">
        <v>0</v>
      </c>
      <c r="C7" s="40">
        <f>SUM(C4:C6)</f>
        <v>5</v>
      </c>
      <c r="D7" s="196">
        <f>SUM(D4:D6)</f>
        <v>7450000</v>
      </c>
    </row>
    <row r="9" spans="2:11" ht="12" customHeight="1" x14ac:dyDescent="0.25">
      <c r="B9" s="381" t="s">
        <v>3</v>
      </c>
      <c r="C9" s="381"/>
      <c r="E9" s="41"/>
    </row>
    <row r="10" spans="2:11" ht="12" customHeight="1" x14ac:dyDescent="0.25">
      <c r="B10" s="43" t="s">
        <v>164</v>
      </c>
      <c r="C10" s="42">
        <v>1000000</v>
      </c>
      <c r="E10" s="41"/>
    </row>
    <row r="11" spans="2:11" ht="12" customHeight="1" x14ac:dyDescent="0.25">
      <c r="B11" s="43" t="s">
        <v>95</v>
      </c>
      <c r="C11" s="52">
        <v>0.1007</v>
      </c>
      <c r="E11" s="41"/>
    </row>
    <row r="12" spans="2:11" ht="12" customHeight="1" x14ac:dyDescent="0.25">
      <c r="E12" s="41"/>
    </row>
    <row r="14" spans="2:11" ht="12" customHeight="1" x14ac:dyDescent="0.25">
      <c r="B14" s="369" t="s">
        <v>36</v>
      </c>
      <c r="C14" s="370"/>
      <c r="D14" s="370"/>
      <c r="E14" s="370"/>
      <c r="F14" s="371"/>
    </row>
    <row r="15" spans="2:11" ht="12" customHeight="1" x14ac:dyDescent="0.25">
      <c r="B15" s="382" t="s">
        <v>37</v>
      </c>
      <c r="C15" s="382"/>
      <c r="D15" s="382"/>
      <c r="E15" s="382"/>
      <c r="F15" s="360" t="s">
        <v>6</v>
      </c>
    </row>
    <row r="16" spans="2:11" ht="12" customHeight="1" x14ac:dyDescent="0.25">
      <c r="B16" s="140" t="s">
        <v>32</v>
      </c>
      <c r="C16" s="140" t="s">
        <v>33</v>
      </c>
      <c r="D16" s="140" t="s">
        <v>26</v>
      </c>
      <c r="E16" s="53" t="s">
        <v>16</v>
      </c>
      <c r="F16" s="361"/>
    </row>
    <row r="17" spans="1:6" ht="12" customHeight="1" x14ac:dyDescent="0.25">
      <c r="A17" s="32" t="s">
        <v>42</v>
      </c>
      <c r="B17" s="33" t="str">
        <f>B4</f>
        <v>Gerente general</v>
      </c>
      <c r="C17" s="44">
        <f>D4</f>
        <v>3200000</v>
      </c>
      <c r="D17" s="45">
        <f>C4</f>
        <v>1</v>
      </c>
      <c r="E17" s="44">
        <f>(C17*D17)*12</f>
        <v>38400000</v>
      </c>
      <c r="F17" s="46">
        <f>E17</f>
        <v>38400000</v>
      </c>
    </row>
    <row r="18" spans="1:6" ht="12" customHeight="1" x14ac:dyDescent="0.25">
      <c r="A18" s="32" t="s">
        <v>42</v>
      </c>
      <c r="B18" s="33" t="str">
        <f t="shared" ref="B18:B19" si="1">B5</f>
        <v>Farmacéutico</v>
      </c>
      <c r="C18" s="44">
        <f>D5</f>
        <v>2400000</v>
      </c>
      <c r="D18" s="45">
        <f>C5</f>
        <v>3</v>
      </c>
      <c r="E18" s="44">
        <f t="shared" ref="E18:E19" si="2">(C18*D18)*12</f>
        <v>86400000</v>
      </c>
      <c r="F18" s="46">
        <f t="shared" ref="F18:F19" si="3">E18</f>
        <v>86400000</v>
      </c>
    </row>
    <row r="19" spans="1:6" ht="12" customHeight="1" x14ac:dyDescent="0.25">
      <c r="A19" s="32" t="s">
        <v>43</v>
      </c>
      <c r="B19" s="33" t="str">
        <f t="shared" si="1"/>
        <v>Asistente de Farmacia</v>
      </c>
      <c r="C19" s="44">
        <f>D6</f>
        <v>1850000</v>
      </c>
      <c r="D19" s="45">
        <f>C6</f>
        <v>1</v>
      </c>
      <c r="E19" s="44">
        <f t="shared" si="2"/>
        <v>22200000</v>
      </c>
      <c r="F19" s="46">
        <f t="shared" si="3"/>
        <v>22200000</v>
      </c>
    </row>
    <row r="20" spans="1:6" ht="12" customHeight="1" x14ac:dyDescent="0.25">
      <c r="B20" s="141" t="s">
        <v>0</v>
      </c>
      <c r="C20" s="47">
        <f>SUM(C17:C19)</f>
        <v>7450000</v>
      </c>
      <c r="D20" s="47">
        <f>SUM(D17:D19)</f>
        <v>5</v>
      </c>
      <c r="E20" s="47">
        <f>SUM(E17:E19)</f>
        <v>147000000</v>
      </c>
      <c r="F20" s="47">
        <f>SUM(F17:F19)</f>
        <v>147000000</v>
      </c>
    </row>
    <row r="23" spans="1:6" ht="12" customHeight="1" x14ac:dyDescent="0.25">
      <c r="B23" s="372" t="s">
        <v>38</v>
      </c>
      <c r="C23" s="373"/>
      <c r="D23" s="373"/>
      <c r="E23" s="373"/>
      <c r="F23" s="374"/>
    </row>
    <row r="24" spans="1:6" ht="12" customHeight="1" x14ac:dyDescent="0.25">
      <c r="B24" s="376" t="s">
        <v>37</v>
      </c>
      <c r="C24" s="376"/>
      <c r="D24" s="376"/>
      <c r="E24" s="376"/>
      <c r="F24" s="377" t="s">
        <v>6</v>
      </c>
    </row>
    <row r="25" spans="1:6" ht="12" customHeight="1" x14ac:dyDescent="0.25">
      <c r="B25" s="139" t="s">
        <v>32</v>
      </c>
      <c r="C25" s="139" t="s">
        <v>33</v>
      </c>
      <c r="D25" s="139" t="s">
        <v>26</v>
      </c>
      <c r="E25" s="54" t="s">
        <v>16</v>
      </c>
      <c r="F25" s="378"/>
    </row>
    <row r="26" spans="1:6" ht="12" customHeight="1" x14ac:dyDescent="0.25">
      <c r="A26" s="32" t="s">
        <v>42</v>
      </c>
      <c r="B26" s="33" t="s">
        <v>2</v>
      </c>
      <c r="C26" s="44">
        <f>ROUND(+C17*(1+$C$11),2)</f>
        <v>3522240</v>
      </c>
      <c r="D26" s="45">
        <f>D17</f>
        <v>1</v>
      </c>
      <c r="E26" s="44">
        <f>(C26*D26)*12</f>
        <v>42266880</v>
      </c>
      <c r="F26" s="46">
        <f>E26</f>
        <v>42266880</v>
      </c>
    </row>
    <row r="27" spans="1:6" ht="12" customHeight="1" x14ac:dyDescent="0.25">
      <c r="A27" s="32" t="s">
        <v>42</v>
      </c>
      <c r="B27" s="33" t="s">
        <v>111</v>
      </c>
      <c r="C27" s="44">
        <f>ROUND(+C18*(1+$C$11),2)</f>
        <v>2641680</v>
      </c>
      <c r="D27" s="45">
        <f>D18</f>
        <v>3</v>
      </c>
      <c r="E27" s="44">
        <f t="shared" ref="E27:E28" si="4">(C27*D27)*12</f>
        <v>95100480</v>
      </c>
      <c r="F27" s="46">
        <f t="shared" ref="F27:F28" si="5">E27</f>
        <v>95100480</v>
      </c>
    </row>
    <row r="28" spans="1:6" ht="12" customHeight="1" x14ac:dyDescent="0.25">
      <c r="A28" s="32" t="s">
        <v>43</v>
      </c>
      <c r="B28" s="33" t="s">
        <v>112</v>
      </c>
      <c r="C28" s="44">
        <f>ROUND(+C19*(1+$C$11),2)</f>
        <v>2036295</v>
      </c>
      <c r="D28" s="45">
        <f>D19</f>
        <v>1</v>
      </c>
      <c r="E28" s="44">
        <f t="shared" si="4"/>
        <v>24435540</v>
      </c>
      <c r="F28" s="46">
        <f t="shared" si="5"/>
        <v>24435540</v>
      </c>
    </row>
    <row r="29" spans="1:6" ht="12" customHeight="1" x14ac:dyDescent="0.25">
      <c r="B29" s="141" t="s">
        <v>0</v>
      </c>
      <c r="C29" s="47">
        <f>SUM(C26:C28)</f>
        <v>8200215</v>
      </c>
      <c r="D29" s="47">
        <f>SUM(D26:D28)</f>
        <v>5</v>
      </c>
      <c r="E29" s="47">
        <f>SUM(E26:E28)</f>
        <v>161802900</v>
      </c>
      <c r="F29" s="47">
        <f>SUM(F26:F28)</f>
        <v>161802900</v>
      </c>
    </row>
    <row r="31" spans="1:6" ht="12" customHeight="1" x14ac:dyDescent="0.25">
      <c r="B31" s="375" t="s">
        <v>39</v>
      </c>
      <c r="C31" s="375"/>
      <c r="D31" s="375"/>
      <c r="E31" s="375"/>
      <c r="F31" s="375"/>
    </row>
    <row r="32" spans="1:6" ht="12" customHeight="1" x14ac:dyDescent="0.25">
      <c r="B32" s="375" t="s">
        <v>37</v>
      </c>
      <c r="C32" s="375"/>
      <c r="D32" s="375"/>
      <c r="E32" s="375"/>
      <c r="F32" s="379" t="s">
        <v>6</v>
      </c>
    </row>
    <row r="33" spans="1:7" ht="12" customHeight="1" x14ac:dyDescent="0.25">
      <c r="B33" s="136" t="s">
        <v>32</v>
      </c>
      <c r="C33" s="136" t="s">
        <v>33</v>
      </c>
      <c r="D33" s="136" t="s">
        <v>26</v>
      </c>
      <c r="E33" s="55" t="s">
        <v>16</v>
      </c>
      <c r="F33" s="380"/>
    </row>
    <row r="34" spans="1:7" ht="12" customHeight="1" x14ac:dyDescent="0.25">
      <c r="A34" s="32" t="s">
        <v>42</v>
      </c>
      <c r="B34" s="33" t="s">
        <v>2</v>
      </c>
      <c r="C34" s="44">
        <f>ROUND(+C26*(1+$C$11),2)</f>
        <v>3876929.57</v>
      </c>
      <c r="D34" s="45">
        <f>D26</f>
        <v>1</v>
      </c>
      <c r="E34" s="44">
        <f>(C34*D34)*12</f>
        <v>46523154.839999996</v>
      </c>
      <c r="F34" s="46">
        <f>E34</f>
        <v>46523154.839999996</v>
      </c>
      <c r="G34" s="32" t="s">
        <v>18</v>
      </c>
    </row>
    <row r="35" spans="1:7" ht="12" customHeight="1" x14ac:dyDescent="0.25">
      <c r="A35" s="32" t="s">
        <v>42</v>
      </c>
      <c r="B35" s="33" t="s">
        <v>111</v>
      </c>
      <c r="C35" s="44">
        <f>ROUND(+C27*(1+$C$11),2)</f>
        <v>2907697.18</v>
      </c>
      <c r="D35" s="45">
        <f>D27</f>
        <v>3</v>
      </c>
      <c r="E35" s="44">
        <f t="shared" ref="E35:E36" si="6">(C35*D35)*12</f>
        <v>104677098.48000002</v>
      </c>
      <c r="F35" s="46">
        <f t="shared" ref="F35:F36" si="7">E35</f>
        <v>104677098.48000002</v>
      </c>
    </row>
    <row r="36" spans="1:7" ht="12" customHeight="1" x14ac:dyDescent="0.25">
      <c r="A36" s="32" t="s">
        <v>43</v>
      </c>
      <c r="B36" s="33" t="s">
        <v>112</v>
      </c>
      <c r="C36" s="44">
        <f>ROUND(+C28*(1+$C$11),2)</f>
        <v>2241349.91</v>
      </c>
      <c r="D36" s="45">
        <f>D28</f>
        <v>1</v>
      </c>
      <c r="E36" s="44">
        <f t="shared" si="6"/>
        <v>26896198.920000002</v>
      </c>
      <c r="F36" s="46">
        <f t="shared" si="7"/>
        <v>26896198.920000002</v>
      </c>
    </row>
    <row r="37" spans="1:7" ht="12" customHeight="1" x14ac:dyDescent="0.25">
      <c r="B37" s="141" t="s">
        <v>0</v>
      </c>
      <c r="C37" s="47">
        <f>SUM(C34:C36)</f>
        <v>9025976.6600000001</v>
      </c>
      <c r="D37" s="47">
        <f>SUM(D34:D36)</f>
        <v>5</v>
      </c>
      <c r="E37" s="47">
        <f>SUM(E34:E36)</f>
        <v>178096452.24000001</v>
      </c>
      <c r="F37" s="47">
        <f>SUM(F34:F36)</f>
        <v>178096452.24000001</v>
      </c>
    </row>
    <row r="39" spans="1:7" ht="12" customHeight="1" x14ac:dyDescent="0.25">
      <c r="B39" s="365" t="s">
        <v>40</v>
      </c>
      <c r="C39" s="365"/>
      <c r="D39" s="365"/>
      <c r="E39" s="365"/>
      <c r="F39" s="365"/>
    </row>
    <row r="40" spans="1:7" ht="12" customHeight="1" x14ac:dyDescent="0.25">
      <c r="B40" s="365" t="s">
        <v>37</v>
      </c>
      <c r="C40" s="365"/>
      <c r="D40" s="365"/>
      <c r="E40" s="365"/>
      <c r="F40" s="362" t="s">
        <v>6</v>
      </c>
    </row>
    <row r="41" spans="1:7" ht="12" customHeight="1" x14ac:dyDescent="0.25">
      <c r="B41" s="137" t="s">
        <v>32</v>
      </c>
      <c r="C41" s="137" t="s">
        <v>33</v>
      </c>
      <c r="D41" s="137" t="s">
        <v>26</v>
      </c>
      <c r="E41" s="56" t="s">
        <v>16</v>
      </c>
      <c r="F41" s="363"/>
    </row>
    <row r="42" spans="1:7" ht="12" customHeight="1" x14ac:dyDescent="0.25">
      <c r="A42" s="32" t="s">
        <v>42</v>
      </c>
      <c r="B42" s="33" t="s">
        <v>2</v>
      </c>
      <c r="C42" s="44">
        <f>ROUND(+C34*(1+$C$11),2)</f>
        <v>4267336.38</v>
      </c>
      <c r="D42" s="45">
        <f>D34</f>
        <v>1</v>
      </c>
      <c r="E42" s="44">
        <f>(C42*D42)*12</f>
        <v>51208036.560000002</v>
      </c>
      <c r="F42" s="46">
        <f>E42</f>
        <v>51208036.560000002</v>
      </c>
      <c r="G42" s="32" t="s">
        <v>18</v>
      </c>
    </row>
    <row r="43" spans="1:7" ht="12" customHeight="1" x14ac:dyDescent="0.25">
      <c r="A43" s="32" t="s">
        <v>42</v>
      </c>
      <c r="B43" s="33" t="s">
        <v>111</v>
      </c>
      <c r="C43" s="44">
        <f>ROUND(+C35*(1+$C$11),2)</f>
        <v>3200502.29</v>
      </c>
      <c r="D43" s="45">
        <f>D35</f>
        <v>3</v>
      </c>
      <c r="E43" s="44">
        <f t="shared" ref="E43:E44" si="8">(C43*D43)*12</f>
        <v>115218082.44000001</v>
      </c>
      <c r="F43" s="46">
        <f t="shared" ref="F43:F44" si="9">E43</f>
        <v>115218082.44000001</v>
      </c>
    </row>
    <row r="44" spans="1:7" ht="12" customHeight="1" x14ac:dyDescent="0.25">
      <c r="A44" s="32" t="s">
        <v>43</v>
      </c>
      <c r="B44" s="33" t="s">
        <v>112</v>
      </c>
      <c r="C44" s="44">
        <f>ROUND(+C36*(1+$C$11),2)</f>
        <v>2467053.85</v>
      </c>
      <c r="D44" s="45">
        <f>D36</f>
        <v>1</v>
      </c>
      <c r="E44" s="44">
        <f t="shared" si="8"/>
        <v>29604646.200000003</v>
      </c>
      <c r="F44" s="46">
        <f t="shared" si="9"/>
        <v>29604646.200000003</v>
      </c>
    </row>
    <row r="45" spans="1:7" ht="12" customHeight="1" x14ac:dyDescent="0.25">
      <c r="B45" s="141" t="s">
        <v>0</v>
      </c>
      <c r="C45" s="47">
        <f>SUM(C42:C44)</f>
        <v>9934892.5199999996</v>
      </c>
      <c r="D45" s="47">
        <f>SUM(D42:D44)</f>
        <v>5</v>
      </c>
      <c r="E45" s="47">
        <f>SUM(E42:E44)</f>
        <v>196030765.19999999</v>
      </c>
      <c r="F45" s="47">
        <f>SUM(F42:F44)</f>
        <v>196030765.19999999</v>
      </c>
    </row>
    <row r="47" spans="1:7" ht="12" customHeight="1" x14ac:dyDescent="0.25">
      <c r="B47" s="364" t="s">
        <v>41</v>
      </c>
      <c r="C47" s="364"/>
      <c r="D47" s="364"/>
      <c r="E47" s="364"/>
      <c r="F47" s="364"/>
    </row>
    <row r="48" spans="1:7" ht="12" customHeight="1" x14ac:dyDescent="0.25">
      <c r="B48" s="364" t="s">
        <v>37</v>
      </c>
      <c r="C48" s="364"/>
      <c r="D48" s="364"/>
      <c r="E48" s="364"/>
      <c r="F48" s="366" t="s">
        <v>6</v>
      </c>
    </row>
    <row r="49" spans="1:7" ht="12" customHeight="1" x14ac:dyDescent="0.25">
      <c r="B49" s="138" t="s">
        <v>32</v>
      </c>
      <c r="C49" s="138" t="s">
        <v>33</v>
      </c>
      <c r="D49" s="138" t="s">
        <v>26</v>
      </c>
      <c r="E49" s="57" t="s">
        <v>16</v>
      </c>
      <c r="F49" s="367"/>
    </row>
    <row r="50" spans="1:7" ht="12" customHeight="1" x14ac:dyDescent="0.25">
      <c r="A50" s="32" t="s">
        <v>42</v>
      </c>
      <c r="B50" s="33" t="s">
        <v>2</v>
      </c>
      <c r="C50" s="44">
        <f>ROUND(+C42*(1+$C$11),2)</f>
        <v>4697057.1500000004</v>
      </c>
      <c r="D50" s="45">
        <f>D42</f>
        <v>1</v>
      </c>
      <c r="E50" s="44">
        <f>(C50*D50)*12</f>
        <v>56364685.800000004</v>
      </c>
      <c r="F50" s="46">
        <f>E50</f>
        <v>56364685.800000004</v>
      </c>
      <c r="G50" s="32" t="s">
        <v>18</v>
      </c>
    </row>
    <row r="51" spans="1:7" ht="12" customHeight="1" x14ac:dyDescent="0.25">
      <c r="A51" s="32" t="s">
        <v>42</v>
      </c>
      <c r="B51" s="33" t="s">
        <v>111</v>
      </c>
      <c r="C51" s="44">
        <f>ROUND(+C43*(1+$C$11),2)</f>
        <v>3522792.87</v>
      </c>
      <c r="D51" s="45">
        <f>D43</f>
        <v>3</v>
      </c>
      <c r="E51" s="44">
        <f t="shared" ref="E51:E52" si="10">(C51*D51)*12</f>
        <v>126820543.31999999</v>
      </c>
      <c r="F51" s="46">
        <f t="shared" ref="F51:F52" si="11">E51</f>
        <v>126820543.31999999</v>
      </c>
    </row>
    <row r="52" spans="1:7" ht="12" customHeight="1" x14ac:dyDescent="0.25">
      <c r="A52" s="32" t="s">
        <v>43</v>
      </c>
      <c r="B52" s="33" t="s">
        <v>112</v>
      </c>
      <c r="C52" s="44">
        <f>ROUND(+C44*(1+$C$11),2)</f>
        <v>2715486.17</v>
      </c>
      <c r="D52" s="45">
        <f>D44</f>
        <v>1</v>
      </c>
      <c r="E52" s="44">
        <f t="shared" si="10"/>
        <v>32585834.039999999</v>
      </c>
      <c r="F52" s="46">
        <f t="shared" si="11"/>
        <v>32585834.039999999</v>
      </c>
    </row>
    <row r="53" spans="1:7" ht="12" customHeight="1" x14ac:dyDescent="0.25">
      <c r="B53" s="141" t="s">
        <v>0</v>
      </c>
      <c r="C53" s="47">
        <f>SUM(C50:C52)</f>
        <v>10935336.190000001</v>
      </c>
      <c r="D53" s="47">
        <f>SUM(D50:D52)</f>
        <v>5</v>
      </c>
      <c r="E53" s="47">
        <f>SUM(E50:E52)</f>
        <v>215771063.16</v>
      </c>
      <c r="F53" s="47">
        <f>SUM(F50:F52)</f>
        <v>215771063.16</v>
      </c>
    </row>
    <row r="55" spans="1:7" ht="12" customHeight="1" x14ac:dyDescent="0.25">
      <c r="B55" s="357" t="s">
        <v>44</v>
      </c>
      <c r="C55" s="358"/>
      <c r="D55" s="358"/>
      <c r="E55" s="358"/>
      <c r="F55" s="358"/>
      <c r="G55" s="359"/>
    </row>
    <row r="56" spans="1:7" ht="12" customHeight="1" x14ac:dyDescent="0.25">
      <c r="B56" s="48" t="s">
        <v>45</v>
      </c>
      <c r="C56" s="51" t="s">
        <v>36</v>
      </c>
      <c r="D56" s="51" t="s">
        <v>38</v>
      </c>
      <c r="E56" s="51" t="s">
        <v>39</v>
      </c>
      <c r="F56" s="51" t="s">
        <v>40</v>
      </c>
      <c r="G56" s="51" t="s">
        <v>41</v>
      </c>
    </row>
    <row r="57" spans="1:7" ht="12" customHeight="1" x14ac:dyDescent="0.25">
      <c r="B57" s="142" t="str">
        <f>B26</f>
        <v>Gerente general</v>
      </c>
      <c r="C57" s="195">
        <f>F17</f>
        <v>38400000</v>
      </c>
      <c r="D57" s="195">
        <f>F26</f>
        <v>42266880</v>
      </c>
      <c r="E57" s="195">
        <f>F34</f>
        <v>46523154.839999996</v>
      </c>
      <c r="F57" s="195">
        <f>F42</f>
        <v>51208036.560000002</v>
      </c>
      <c r="G57" s="195">
        <f>F50</f>
        <v>56364685.800000004</v>
      </c>
    </row>
    <row r="58" spans="1:7" ht="12" customHeight="1" x14ac:dyDescent="0.25">
      <c r="B58" s="142" t="str">
        <f t="shared" ref="B58:B59" si="12">B27</f>
        <v>Operador de Servicios</v>
      </c>
      <c r="C58" s="195">
        <f t="shared" ref="C58:C59" si="13">F18</f>
        <v>86400000</v>
      </c>
      <c r="D58" s="195">
        <f t="shared" ref="D58:D59" si="14">F27</f>
        <v>95100480</v>
      </c>
      <c r="E58" s="195">
        <f t="shared" ref="E58:E59" si="15">F35</f>
        <v>104677098.48000002</v>
      </c>
      <c r="F58" s="195">
        <f t="shared" ref="F58:F59" si="16">F43</f>
        <v>115218082.44000001</v>
      </c>
      <c r="G58" s="195">
        <f t="shared" ref="G58:G59" si="17">F51</f>
        <v>126820543.31999999</v>
      </c>
    </row>
    <row r="59" spans="1:7" ht="12" customHeight="1" x14ac:dyDescent="0.25">
      <c r="B59" s="142" t="str">
        <f t="shared" si="12"/>
        <v>Operador de Atención al cliente</v>
      </c>
      <c r="C59" s="195">
        <f t="shared" si="13"/>
        <v>22200000</v>
      </c>
      <c r="D59" s="195">
        <f t="shared" si="14"/>
        <v>24435540</v>
      </c>
      <c r="E59" s="195">
        <f t="shared" si="15"/>
        <v>26896198.920000002</v>
      </c>
      <c r="F59" s="195">
        <f t="shared" si="16"/>
        <v>29604646.200000003</v>
      </c>
      <c r="G59" s="195">
        <f t="shared" si="17"/>
        <v>32585834.039999999</v>
      </c>
    </row>
    <row r="60" spans="1:7" ht="12" customHeight="1" x14ac:dyDescent="0.25">
      <c r="B60" s="143" t="s">
        <v>0</v>
      </c>
      <c r="C60" s="236">
        <f>SUM(C57:C59)</f>
        <v>147000000</v>
      </c>
      <c r="D60" s="236">
        <f>SUM(D57:D59)</f>
        <v>161802900</v>
      </c>
      <c r="E60" s="236">
        <f>SUM(E57:E59)</f>
        <v>178096452.24000001</v>
      </c>
      <c r="F60" s="236">
        <f t="shared" ref="F60:G60" si="18">SUM(F57:F59)</f>
        <v>196030765.19999999</v>
      </c>
      <c r="G60" s="236">
        <f t="shared" si="18"/>
        <v>215771063.16</v>
      </c>
    </row>
  </sheetData>
  <mergeCells count="18">
    <mergeCell ref="B2:E2"/>
    <mergeCell ref="B14:F14"/>
    <mergeCell ref="B23:F23"/>
    <mergeCell ref="B31:F31"/>
    <mergeCell ref="B39:F39"/>
    <mergeCell ref="B24:E24"/>
    <mergeCell ref="F24:F25"/>
    <mergeCell ref="B32:E32"/>
    <mergeCell ref="F32:F33"/>
    <mergeCell ref="B9:C9"/>
    <mergeCell ref="B15:E15"/>
    <mergeCell ref="B55:G55"/>
    <mergeCell ref="F15:F16"/>
    <mergeCell ref="F40:F41"/>
    <mergeCell ref="B47:F47"/>
    <mergeCell ref="B40:E40"/>
    <mergeCell ref="B48:E48"/>
    <mergeCell ref="F48:F49"/>
  </mergeCells>
  <phoneticPr fontId="20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9"/>
  <sheetViews>
    <sheetView showGridLines="0" topLeftCell="A63" zoomScale="90" zoomScaleNormal="90" workbookViewId="0">
      <selection activeCell="E56" sqref="E56"/>
    </sheetView>
  </sheetViews>
  <sheetFormatPr baseColWidth="10" defaultColWidth="11.42578125" defaultRowHeight="15" x14ac:dyDescent="0.25"/>
  <cols>
    <col min="1" max="1" width="33.85546875" style="49" bestFit="1" customWidth="1"/>
    <col min="2" max="16" width="20.28515625" style="49" bestFit="1" customWidth="1"/>
    <col min="17" max="17" width="14.42578125" style="49" bestFit="1" customWidth="1"/>
    <col min="18" max="16384" width="11.42578125" style="49"/>
  </cols>
  <sheetData>
    <row r="1" spans="1:17" x14ac:dyDescent="0.25">
      <c r="B1" s="254" t="s">
        <v>182</v>
      </c>
      <c r="D1" s="256" t="s">
        <v>36</v>
      </c>
      <c r="E1" s="256" t="s">
        <v>38</v>
      </c>
      <c r="F1" s="256" t="s">
        <v>39</v>
      </c>
      <c r="G1" s="256" t="s">
        <v>40</v>
      </c>
      <c r="H1" s="256" t="s">
        <v>41</v>
      </c>
      <c r="I1" s="255"/>
      <c r="J1" s="258">
        <f>Ingresos!M2</f>
        <v>0.122</v>
      </c>
      <c r="K1" s="255"/>
      <c r="L1" s="255"/>
      <c r="M1" s="255"/>
      <c r="N1" s="255"/>
      <c r="O1" s="255"/>
      <c r="P1" s="255"/>
      <c r="Q1" s="255"/>
    </row>
    <row r="2" spans="1:17" x14ac:dyDescent="0.25">
      <c r="A2" s="49" t="str">
        <f>Ingresos!B3</f>
        <v xml:space="preserve">Base de datos inventario total </v>
      </c>
      <c r="B2" s="253">
        <f>+Ingresos!C3</f>
        <v>1001187132.0333333</v>
      </c>
      <c r="C2" s="252"/>
      <c r="D2" s="257">
        <f t="shared" ref="D2" si="0">B2</f>
        <v>1001187132.0333333</v>
      </c>
      <c r="E2" s="257">
        <f t="shared" ref="E2:H2" si="1">D2*(1+$J$1)</f>
        <v>1123331962.1413999</v>
      </c>
      <c r="F2" s="257">
        <f t="shared" si="1"/>
        <v>1260378461.5226505</v>
      </c>
      <c r="G2" s="257">
        <f t="shared" si="1"/>
        <v>1414144633.8284137</v>
      </c>
      <c r="H2" s="257">
        <f t="shared" si="1"/>
        <v>1586670279.1554801</v>
      </c>
      <c r="I2" s="147"/>
      <c r="J2" s="147"/>
      <c r="K2" s="147"/>
      <c r="L2" s="147"/>
      <c r="M2" s="147"/>
      <c r="N2" s="147"/>
      <c r="O2" s="147"/>
      <c r="P2" s="147"/>
      <c r="Q2" s="147"/>
    </row>
    <row r="3" spans="1:17" x14ac:dyDescent="0.25"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x14ac:dyDescent="0.25">
      <c r="B4" s="403" t="s">
        <v>134</v>
      </c>
      <c r="C4" s="403"/>
      <c r="D4" s="403"/>
      <c r="E4" s="403"/>
      <c r="F4" s="403"/>
      <c r="G4" s="404" t="s">
        <v>183</v>
      </c>
      <c r="H4" s="404"/>
      <c r="I4" s="404"/>
      <c r="J4" s="404"/>
      <c r="K4" s="404"/>
      <c r="L4" s="399" t="s">
        <v>151</v>
      </c>
      <c r="M4" s="399"/>
      <c r="N4" s="399"/>
      <c r="O4" s="399"/>
      <c r="P4" s="399"/>
      <c r="Q4" s="147"/>
    </row>
    <row r="5" spans="1:17" x14ac:dyDescent="0.25">
      <c r="B5" s="262" t="s">
        <v>36</v>
      </c>
      <c r="C5" s="262" t="s">
        <v>38</v>
      </c>
      <c r="D5" s="262" t="s">
        <v>39</v>
      </c>
      <c r="E5" s="262" t="s">
        <v>40</v>
      </c>
      <c r="F5" s="262" t="s">
        <v>41</v>
      </c>
      <c r="G5" s="261" t="s">
        <v>36</v>
      </c>
      <c r="H5" s="261" t="s">
        <v>38</v>
      </c>
      <c r="I5" s="261" t="s">
        <v>39</v>
      </c>
      <c r="J5" s="261" t="s">
        <v>40</v>
      </c>
      <c r="K5" s="261" t="s">
        <v>41</v>
      </c>
      <c r="L5" s="263" t="s">
        <v>36</v>
      </c>
      <c r="M5" s="263" t="s">
        <v>38</v>
      </c>
      <c r="N5" s="263" t="s">
        <v>39</v>
      </c>
      <c r="O5" s="263" t="s">
        <v>40</v>
      </c>
      <c r="P5" s="263" t="s">
        <v>41</v>
      </c>
      <c r="Q5" s="147"/>
    </row>
    <row r="6" spans="1:17" x14ac:dyDescent="0.25">
      <c r="A6" s="80" t="str">
        <f>A2</f>
        <v xml:space="preserve">Base de datos inventario total </v>
      </c>
      <c r="B6" s="257">
        <f>Ingresos!C16*D2</f>
        <v>1001187132.0333333</v>
      </c>
      <c r="C6" s="257">
        <f>Ingresos!D16*E2</f>
        <v>1189046881.9266717</v>
      </c>
      <c r="D6" s="257">
        <f>Ingresos!E16*F2</f>
        <v>1412156071.7107465</v>
      </c>
      <c r="E6" s="257">
        <f>Ingresos!F16*G2</f>
        <v>1677128800.5383356</v>
      </c>
      <c r="F6" s="257">
        <f>Ingresos!G16*H2</f>
        <v>1991820217.2849472</v>
      </c>
      <c r="G6" s="257">
        <f>Ingresos!H16*D2</f>
        <v>1001187132.0333333</v>
      </c>
      <c r="H6" s="257">
        <f>Ingresos!I16*E2</f>
        <v>1210951855.1884291</v>
      </c>
      <c r="I6" s="257">
        <f>Ingresos!J16*F2</f>
        <v>1464665644.0800879</v>
      </c>
      <c r="J6" s="257">
        <f>Ingresos!K16*G2</f>
        <v>1771536531.1651716</v>
      </c>
      <c r="K6" s="257">
        <f>Ingresos!L16*H2</f>
        <v>2142701779.0287733</v>
      </c>
      <c r="L6" s="257">
        <f>Ingresos!M16*D2</f>
        <v>1001187132.0333333</v>
      </c>
      <c r="M6" s="257">
        <f>Ingresos!N16*E2</f>
        <v>1143551937.459945</v>
      </c>
      <c r="N6" s="257">
        <f>Ingresos!O16*F2</f>
        <v>1306160448.7589993</v>
      </c>
      <c r="O6" s="257">
        <f>Ingresos!P16*G2</f>
        <v>1491891239.9307339</v>
      </c>
      <c r="P6" s="257">
        <f>Ingresos!Q16*H2</f>
        <v>1704032206.6839244</v>
      </c>
      <c r="Q6" s="147"/>
    </row>
    <row r="7" spans="1:17" x14ac:dyDescent="0.25">
      <c r="A7" s="260" t="s">
        <v>6</v>
      </c>
      <c r="B7" s="259">
        <f t="shared" ref="B7:P7" si="2">SUM(B6:B6)</f>
        <v>1001187132.0333333</v>
      </c>
      <c r="C7" s="259">
        <f t="shared" si="2"/>
        <v>1189046881.9266717</v>
      </c>
      <c r="D7" s="259">
        <f t="shared" si="2"/>
        <v>1412156071.7107465</v>
      </c>
      <c r="E7" s="259">
        <f t="shared" si="2"/>
        <v>1677128800.5383356</v>
      </c>
      <c r="F7" s="259">
        <f t="shared" si="2"/>
        <v>1991820217.2849472</v>
      </c>
      <c r="G7" s="259">
        <f t="shared" si="2"/>
        <v>1001187132.0333333</v>
      </c>
      <c r="H7" s="259">
        <f t="shared" si="2"/>
        <v>1210951855.1884291</v>
      </c>
      <c r="I7" s="259">
        <f t="shared" si="2"/>
        <v>1464665644.0800879</v>
      </c>
      <c r="J7" s="259">
        <f t="shared" si="2"/>
        <v>1771536531.1651716</v>
      </c>
      <c r="K7" s="259">
        <f t="shared" si="2"/>
        <v>2142701779.0287733</v>
      </c>
      <c r="L7" s="259">
        <f t="shared" si="2"/>
        <v>1001187132.0333333</v>
      </c>
      <c r="M7" s="259">
        <f t="shared" si="2"/>
        <v>1143551937.459945</v>
      </c>
      <c r="N7" s="259">
        <f t="shared" si="2"/>
        <v>1306160448.7589993</v>
      </c>
      <c r="O7" s="259">
        <f t="shared" si="2"/>
        <v>1491891239.9307339</v>
      </c>
      <c r="P7" s="259">
        <f t="shared" si="2"/>
        <v>1704032206.6839244</v>
      </c>
      <c r="Q7" s="147"/>
    </row>
    <row r="8" spans="1:17" x14ac:dyDescent="0.25">
      <c r="G8" s="144"/>
      <c r="H8" s="145"/>
      <c r="I8" s="124"/>
      <c r="J8" s="145"/>
      <c r="K8" s="124"/>
      <c r="L8" s="145"/>
      <c r="M8" s="124"/>
      <c r="N8" s="145"/>
      <c r="O8" s="124"/>
      <c r="P8" s="145"/>
      <c r="Q8" s="124"/>
    </row>
    <row r="9" spans="1:17" x14ac:dyDescent="0.25">
      <c r="A9" s="357" t="s">
        <v>109</v>
      </c>
      <c r="B9" s="358"/>
      <c r="C9" s="358"/>
      <c r="D9" s="358"/>
      <c r="E9" s="358"/>
      <c r="F9" s="358"/>
      <c r="G9" s="358"/>
      <c r="H9" s="358"/>
      <c r="I9" s="359"/>
      <c r="J9" s="145"/>
      <c r="K9" s="124"/>
      <c r="L9" s="145"/>
      <c r="M9" s="124"/>
      <c r="N9" s="145"/>
      <c r="O9" s="124"/>
      <c r="P9" s="145"/>
      <c r="Q9" s="124"/>
    </row>
    <row r="10" spans="1:17" x14ac:dyDescent="0.25">
      <c r="A10" s="133" t="s">
        <v>47</v>
      </c>
      <c r="B10" s="133" t="s">
        <v>26</v>
      </c>
      <c r="C10" s="133" t="s">
        <v>48</v>
      </c>
      <c r="D10" s="133" t="s">
        <v>46</v>
      </c>
      <c r="E10" s="133" t="s">
        <v>36</v>
      </c>
      <c r="F10" s="133" t="s">
        <v>38</v>
      </c>
      <c r="G10" s="133" t="s">
        <v>39</v>
      </c>
      <c r="H10" s="133" t="s">
        <v>40</v>
      </c>
      <c r="I10" s="133" t="s">
        <v>41</v>
      </c>
      <c r="J10" s="146"/>
      <c r="K10" s="146"/>
      <c r="M10" s="146"/>
      <c r="O10" s="146"/>
      <c r="Q10" s="146"/>
    </row>
    <row r="11" spans="1:17" x14ac:dyDescent="0.25">
      <c r="A11" s="75" t="s">
        <v>184</v>
      </c>
      <c r="B11" s="76">
        <v>1</v>
      </c>
      <c r="C11" s="162">
        <v>3640000</v>
      </c>
      <c r="D11" s="163">
        <f>B11*C11</f>
        <v>3640000</v>
      </c>
      <c r="E11" s="164">
        <f>D11*12</f>
        <v>43680000</v>
      </c>
      <c r="F11" s="164">
        <f>E11*(1+$G$58)</f>
        <v>47903856</v>
      </c>
      <c r="G11" s="164">
        <f>F11*(1+$G$58)</f>
        <v>52536158.875200003</v>
      </c>
      <c r="H11" s="164">
        <f>G11*(1+$G$58)</f>
        <v>57616405.438431844</v>
      </c>
      <c r="I11" s="164">
        <f>H11*(1+$G$58)</f>
        <v>63187911.844328202</v>
      </c>
    </row>
    <row r="12" spans="1:17" x14ac:dyDescent="0.25">
      <c r="A12" s="393" t="s">
        <v>0</v>
      </c>
      <c r="B12" s="394"/>
      <c r="C12" s="394"/>
      <c r="D12" s="165">
        <f>SUM(D11)</f>
        <v>3640000</v>
      </c>
      <c r="E12" s="166">
        <f>SUM(E11)</f>
        <v>43680000</v>
      </c>
      <c r="F12" s="166">
        <f t="shared" ref="F12:I12" si="3">SUM(F11)</f>
        <v>47903856</v>
      </c>
      <c r="G12" s="166">
        <f t="shared" si="3"/>
        <v>52536158.875200003</v>
      </c>
      <c r="H12" s="166">
        <f t="shared" si="3"/>
        <v>57616405.438431844</v>
      </c>
      <c r="I12" s="166">
        <f t="shared" si="3"/>
        <v>63187911.844328202</v>
      </c>
    </row>
    <row r="14" spans="1:17" x14ac:dyDescent="0.25">
      <c r="A14" s="386" t="s">
        <v>97</v>
      </c>
      <c r="B14" s="387"/>
      <c r="C14" s="387"/>
      <c r="D14" s="387"/>
      <c r="E14" s="387"/>
      <c r="F14" s="387"/>
      <c r="G14" s="387"/>
      <c r="H14" s="387"/>
      <c r="I14" s="388"/>
    </row>
    <row r="15" spans="1:17" x14ac:dyDescent="0.25">
      <c r="A15" s="133" t="s">
        <v>47</v>
      </c>
      <c r="B15" s="133" t="s">
        <v>26</v>
      </c>
      <c r="C15" s="133" t="s">
        <v>48</v>
      </c>
      <c r="D15" s="133" t="s">
        <v>46</v>
      </c>
      <c r="E15" s="133" t="s">
        <v>36</v>
      </c>
      <c r="F15" s="133" t="s">
        <v>38</v>
      </c>
      <c r="G15" s="133" t="s">
        <v>39</v>
      </c>
      <c r="H15" s="133" t="s">
        <v>40</v>
      </c>
      <c r="I15" s="133" t="s">
        <v>41</v>
      </c>
    </row>
    <row r="16" spans="1:17" x14ac:dyDescent="0.25">
      <c r="A16" s="33" t="s">
        <v>185</v>
      </c>
      <c r="B16" s="77">
        <v>1</v>
      </c>
      <c r="C16" s="170">
        <v>5210200</v>
      </c>
      <c r="D16" s="167">
        <f>B16*C16</f>
        <v>5210200</v>
      </c>
      <c r="E16" s="168">
        <f>D16*12</f>
        <v>62522400</v>
      </c>
      <c r="F16" s="164">
        <f t="shared" ref="F16:I17" si="4">E16*(1+$G$58)</f>
        <v>68568316.079999998</v>
      </c>
      <c r="G16" s="164">
        <f t="shared" si="4"/>
        <v>75198872.244936004</v>
      </c>
      <c r="H16" s="164">
        <f t="shared" si="4"/>
        <v>82470603.191021323</v>
      </c>
      <c r="I16" s="164">
        <f t="shared" si="4"/>
        <v>90445510.51959309</v>
      </c>
      <c r="L16" s="49">
        <v>851</v>
      </c>
      <c r="M16" s="49">
        <v>300</v>
      </c>
    </row>
    <row r="17" spans="1:13" x14ac:dyDescent="0.25">
      <c r="A17" s="264" t="s">
        <v>186</v>
      </c>
      <c r="B17" s="265">
        <v>1</v>
      </c>
      <c r="C17" s="266">
        <v>810000</v>
      </c>
      <c r="D17" s="167">
        <f>B17*C17</f>
        <v>810000</v>
      </c>
      <c r="E17" s="168">
        <f>D17*12</f>
        <v>9720000</v>
      </c>
      <c r="F17" s="164">
        <f t="shared" si="4"/>
        <v>10659924</v>
      </c>
      <c r="G17" s="164">
        <f t="shared" si="4"/>
        <v>11690738.650800001</v>
      </c>
      <c r="H17" s="164">
        <f t="shared" si="4"/>
        <v>12821233.078332361</v>
      </c>
      <c r="I17" s="164">
        <f t="shared" si="4"/>
        <v>14061046.3170071</v>
      </c>
    </row>
    <row r="18" spans="1:13" x14ac:dyDescent="0.25">
      <c r="A18" s="400" t="s">
        <v>0</v>
      </c>
      <c r="B18" s="401"/>
      <c r="C18" s="402"/>
      <c r="D18" s="169">
        <f>SUM(D16:D17)</f>
        <v>6020200</v>
      </c>
      <c r="E18" s="169">
        <f t="shared" ref="E18:I18" si="5">SUM(E16:E17)</f>
        <v>72242400</v>
      </c>
      <c r="F18" s="169">
        <f t="shared" si="5"/>
        <v>79228240.079999998</v>
      </c>
      <c r="G18" s="169">
        <f t="shared" si="5"/>
        <v>86889610.895736009</v>
      </c>
      <c r="H18" s="169">
        <f t="shared" si="5"/>
        <v>95291836.269353688</v>
      </c>
      <c r="I18" s="169">
        <f t="shared" si="5"/>
        <v>104506556.83660018</v>
      </c>
      <c r="M18" s="49">
        <f>L16/M16</f>
        <v>2.8366666666666664</v>
      </c>
    </row>
    <row r="19" spans="1:13" x14ac:dyDescent="0.25">
      <c r="A19" s="32"/>
      <c r="B19" s="32"/>
      <c r="C19" s="32"/>
      <c r="D19" s="32"/>
      <c r="E19" s="32"/>
      <c r="F19" s="32"/>
      <c r="M19" s="49">
        <f>M16*M18</f>
        <v>850.99999999999989</v>
      </c>
    </row>
    <row r="20" spans="1:13" x14ac:dyDescent="0.25">
      <c r="A20" s="386" t="s">
        <v>84</v>
      </c>
      <c r="B20" s="387"/>
      <c r="C20" s="387"/>
      <c r="D20" s="387"/>
      <c r="E20" s="387"/>
      <c r="F20" s="387"/>
      <c r="G20" s="387"/>
      <c r="H20" s="387"/>
      <c r="I20" s="388"/>
    </row>
    <row r="21" spans="1:13" x14ac:dyDescent="0.25">
      <c r="A21" s="133" t="s">
        <v>47</v>
      </c>
      <c r="B21" s="133" t="s">
        <v>52</v>
      </c>
      <c r="C21" s="133" t="s">
        <v>48</v>
      </c>
      <c r="D21" s="133" t="s">
        <v>46</v>
      </c>
      <c r="E21" s="133" t="s">
        <v>36</v>
      </c>
      <c r="F21" s="133" t="s">
        <v>38</v>
      </c>
      <c r="G21" s="133" t="s">
        <v>39</v>
      </c>
      <c r="H21" s="133" t="s">
        <v>40</v>
      </c>
      <c r="I21" s="133" t="s">
        <v>41</v>
      </c>
    </row>
    <row r="22" spans="1:13" x14ac:dyDescent="0.25">
      <c r="A22" s="78" t="s">
        <v>53</v>
      </c>
      <c r="B22" s="79">
        <v>380</v>
      </c>
      <c r="C22" s="173">
        <v>730</v>
      </c>
      <c r="D22" s="171">
        <f>B22*C22</f>
        <v>277400</v>
      </c>
      <c r="E22" s="171">
        <f>D22*12</f>
        <v>3328800</v>
      </c>
      <c r="F22" s="164">
        <f t="shared" ref="F22:I24" si="6">E22*(1+$G$58)</f>
        <v>3650694.96</v>
      </c>
      <c r="G22" s="164">
        <f t="shared" si="6"/>
        <v>4003717.1626320002</v>
      </c>
      <c r="H22" s="164">
        <f t="shared" si="6"/>
        <v>4390876.6122585144</v>
      </c>
      <c r="I22" s="164">
        <f t="shared" si="6"/>
        <v>4815474.3806639127</v>
      </c>
    </row>
    <row r="23" spans="1:13" x14ac:dyDescent="0.25">
      <c r="A23" s="78" t="s">
        <v>54</v>
      </c>
      <c r="B23" s="79">
        <v>120</v>
      </c>
      <c r="C23" s="173">
        <v>1456</v>
      </c>
      <c r="D23" s="171">
        <f t="shared" ref="D23:D24" si="7">B23*C23</f>
        <v>174720</v>
      </c>
      <c r="E23" s="171">
        <f t="shared" ref="E23:E24" si="8">D23*12</f>
        <v>2096640</v>
      </c>
      <c r="F23" s="164">
        <f t="shared" si="6"/>
        <v>2299385.088</v>
      </c>
      <c r="G23" s="164">
        <f t="shared" si="6"/>
        <v>2521735.6260096002</v>
      </c>
      <c r="H23" s="164">
        <f t="shared" si="6"/>
        <v>2765587.4610447288</v>
      </c>
      <c r="I23" s="164">
        <f t="shared" si="6"/>
        <v>3033019.7685277541</v>
      </c>
    </row>
    <row r="24" spans="1:13" x14ac:dyDescent="0.25">
      <c r="A24" s="78" t="s">
        <v>55</v>
      </c>
      <c r="B24" s="79">
        <v>1</v>
      </c>
      <c r="C24" s="162">
        <v>210000</v>
      </c>
      <c r="D24" s="171">
        <f t="shared" si="7"/>
        <v>210000</v>
      </c>
      <c r="E24" s="171">
        <f t="shared" si="8"/>
        <v>2520000</v>
      </c>
      <c r="F24" s="164">
        <f t="shared" si="6"/>
        <v>2763684</v>
      </c>
      <c r="G24" s="164">
        <f t="shared" si="6"/>
        <v>3030932.2428000001</v>
      </c>
      <c r="H24" s="164">
        <f t="shared" si="6"/>
        <v>3324023.3906787601</v>
      </c>
      <c r="I24" s="164">
        <f t="shared" si="6"/>
        <v>3645456.4525573961</v>
      </c>
    </row>
    <row r="25" spans="1:13" x14ac:dyDescent="0.25">
      <c r="A25" s="396" t="s">
        <v>0</v>
      </c>
      <c r="B25" s="397"/>
      <c r="C25" s="398"/>
      <c r="D25" s="172">
        <f t="shared" ref="D25:I25" si="9">SUM(D22:D24)</f>
        <v>662120</v>
      </c>
      <c r="E25" s="172">
        <f t="shared" si="9"/>
        <v>7945440</v>
      </c>
      <c r="F25" s="172">
        <f t="shared" si="9"/>
        <v>8713764.0480000004</v>
      </c>
      <c r="G25" s="172">
        <f t="shared" si="9"/>
        <v>9556385.0314415991</v>
      </c>
      <c r="H25" s="172">
        <f t="shared" si="9"/>
        <v>10480487.463982003</v>
      </c>
      <c r="I25" s="172">
        <f t="shared" si="9"/>
        <v>11493950.601749063</v>
      </c>
    </row>
    <row r="26" spans="1:13" x14ac:dyDescent="0.25">
      <c r="B26" s="32"/>
      <c r="C26" s="32"/>
      <c r="D26" s="32"/>
      <c r="E26" s="32"/>
      <c r="F26" s="32"/>
    </row>
    <row r="27" spans="1:13" x14ac:dyDescent="0.25">
      <c r="A27" s="389" t="s">
        <v>187</v>
      </c>
      <c r="B27" s="390"/>
      <c r="C27" s="390"/>
      <c r="D27" s="390"/>
      <c r="E27" s="390"/>
      <c r="F27" s="390"/>
      <c r="G27" s="390"/>
      <c r="H27" s="390"/>
      <c r="I27" s="391"/>
    </row>
    <row r="28" spans="1:13" x14ac:dyDescent="0.25">
      <c r="A28" s="133" t="s">
        <v>47</v>
      </c>
      <c r="B28" s="133" t="s">
        <v>52</v>
      </c>
      <c r="C28" s="133" t="s">
        <v>48</v>
      </c>
      <c r="D28" s="133" t="s">
        <v>46</v>
      </c>
      <c r="E28" s="133" t="s">
        <v>36</v>
      </c>
      <c r="F28" s="133" t="s">
        <v>38</v>
      </c>
      <c r="G28" s="133" t="s">
        <v>39</v>
      </c>
      <c r="H28" s="133" t="s">
        <v>40</v>
      </c>
      <c r="I28" s="133" t="s">
        <v>41</v>
      </c>
    </row>
    <row r="29" spans="1:13" x14ac:dyDescent="0.25">
      <c r="A29" s="80" t="s">
        <v>188</v>
      </c>
      <c r="B29" s="76">
        <v>5</v>
      </c>
      <c r="C29" s="162">
        <v>35610</v>
      </c>
      <c r="D29" s="171">
        <f>B29*C29</f>
        <v>178050</v>
      </c>
      <c r="E29" s="171">
        <f>D29*12</f>
        <v>2136600</v>
      </c>
      <c r="F29" s="164">
        <f t="shared" ref="F29:I40" si="10">E29*(1+$G$58)</f>
        <v>2343209.2200000002</v>
      </c>
      <c r="G29" s="164">
        <f t="shared" si="10"/>
        <v>2569797.5515740002</v>
      </c>
      <c r="H29" s="164">
        <f t="shared" si="10"/>
        <v>2818296.9748112061</v>
      </c>
      <c r="I29" s="164">
        <f t="shared" si="10"/>
        <v>3090826.2922754497</v>
      </c>
    </row>
    <row r="30" spans="1:13" x14ac:dyDescent="0.25">
      <c r="A30" s="78" t="s">
        <v>189</v>
      </c>
      <c r="B30" s="76">
        <v>10</v>
      </c>
      <c r="C30" s="162">
        <v>21500</v>
      </c>
      <c r="D30" s="171">
        <f t="shared" ref="D30:D40" si="11">B30*C30</f>
        <v>215000</v>
      </c>
      <c r="E30" s="171">
        <f t="shared" ref="E30:E40" si="12">D30*12</f>
        <v>2580000</v>
      </c>
      <c r="F30" s="164">
        <f t="shared" si="10"/>
        <v>2829486</v>
      </c>
      <c r="G30" s="164">
        <f t="shared" si="10"/>
        <v>3103097.2962000002</v>
      </c>
      <c r="H30" s="164">
        <f t="shared" si="10"/>
        <v>3403166.8047425402</v>
      </c>
      <c r="I30" s="164">
        <f t="shared" si="10"/>
        <v>3732253.0347611438</v>
      </c>
    </row>
    <row r="31" spans="1:13" x14ac:dyDescent="0.25">
      <c r="A31" s="78" t="s">
        <v>190</v>
      </c>
      <c r="B31" s="76">
        <v>5</v>
      </c>
      <c r="C31" s="162">
        <v>17420</v>
      </c>
      <c r="D31" s="171">
        <f t="shared" si="11"/>
        <v>87100</v>
      </c>
      <c r="E31" s="171">
        <f t="shared" si="12"/>
        <v>1045200</v>
      </c>
      <c r="F31" s="164">
        <f t="shared" si="10"/>
        <v>1146270.8400000001</v>
      </c>
      <c r="G31" s="164">
        <f t="shared" si="10"/>
        <v>1257115.2302280001</v>
      </c>
      <c r="H31" s="164">
        <f t="shared" si="10"/>
        <v>1378678.2729910477</v>
      </c>
      <c r="I31" s="164">
        <f t="shared" si="10"/>
        <v>1511996.4619892819</v>
      </c>
    </row>
    <row r="32" spans="1:13" x14ac:dyDescent="0.25">
      <c r="A32" s="78" t="s">
        <v>191</v>
      </c>
      <c r="B32" s="76">
        <v>5</v>
      </c>
      <c r="C32" s="162">
        <v>7415</v>
      </c>
      <c r="D32" s="171">
        <f t="shared" si="11"/>
        <v>37075</v>
      </c>
      <c r="E32" s="171">
        <f t="shared" si="12"/>
        <v>444900</v>
      </c>
      <c r="F32" s="164">
        <f t="shared" si="10"/>
        <v>487921.83</v>
      </c>
      <c r="G32" s="164">
        <f t="shared" si="10"/>
        <v>535103.87096099998</v>
      </c>
      <c r="H32" s="164">
        <f t="shared" si="10"/>
        <v>586848.41528292873</v>
      </c>
      <c r="I32" s="164">
        <f t="shared" si="10"/>
        <v>643596.65704078798</v>
      </c>
    </row>
    <row r="33" spans="1:9" x14ac:dyDescent="0.25">
      <c r="A33" s="78" t="s">
        <v>192</v>
      </c>
      <c r="B33" s="76">
        <v>2</v>
      </c>
      <c r="C33" s="162">
        <v>41520</v>
      </c>
      <c r="D33" s="171">
        <f t="shared" si="11"/>
        <v>83040</v>
      </c>
      <c r="E33" s="171">
        <f t="shared" si="12"/>
        <v>996480</v>
      </c>
      <c r="F33" s="164">
        <f t="shared" si="10"/>
        <v>1092839.6159999999</v>
      </c>
      <c r="G33" s="164">
        <f t="shared" si="10"/>
        <v>1198517.2068671999</v>
      </c>
      <c r="H33" s="164">
        <f t="shared" si="10"/>
        <v>1314413.8207712581</v>
      </c>
      <c r="I33" s="164">
        <f t="shared" si="10"/>
        <v>1441517.6372398387</v>
      </c>
    </row>
    <row r="34" spans="1:9" x14ac:dyDescent="0.25">
      <c r="A34" s="80" t="s">
        <v>193</v>
      </c>
      <c r="B34" s="76">
        <v>5</v>
      </c>
      <c r="C34" s="162">
        <v>47120</v>
      </c>
      <c r="D34" s="171">
        <f t="shared" si="11"/>
        <v>235600</v>
      </c>
      <c r="E34" s="171">
        <f t="shared" si="12"/>
        <v>2827200</v>
      </c>
      <c r="F34" s="164">
        <f t="shared" si="10"/>
        <v>3100590.24</v>
      </c>
      <c r="G34" s="164">
        <f t="shared" si="10"/>
        <v>3400417.3162080003</v>
      </c>
      <c r="H34" s="164">
        <f t="shared" si="10"/>
        <v>3729237.6706853141</v>
      </c>
      <c r="I34" s="164">
        <f t="shared" si="10"/>
        <v>4089854.9534405842</v>
      </c>
    </row>
    <row r="35" spans="1:9" x14ac:dyDescent="0.25">
      <c r="A35" s="78" t="s">
        <v>194</v>
      </c>
      <c r="B35" s="76">
        <v>2</v>
      </c>
      <c r="C35" s="162">
        <v>12900</v>
      </c>
      <c r="D35" s="171">
        <f t="shared" si="11"/>
        <v>25800</v>
      </c>
      <c r="E35" s="171">
        <f t="shared" si="12"/>
        <v>309600</v>
      </c>
      <c r="F35" s="164">
        <f t="shared" si="10"/>
        <v>339538.32</v>
      </c>
      <c r="G35" s="164">
        <f t="shared" si="10"/>
        <v>372371.675544</v>
      </c>
      <c r="H35" s="164">
        <f t="shared" si="10"/>
        <v>408380.0165691048</v>
      </c>
      <c r="I35" s="164">
        <f t="shared" si="10"/>
        <v>447870.36417133722</v>
      </c>
    </row>
    <row r="36" spans="1:9" x14ac:dyDescent="0.25">
      <c r="A36" s="80" t="s">
        <v>195</v>
      </c>
      <c r="B36" s="76">
        <v>5</v>
      </c>
      <c r="C36" s="162">
        <v>24100</v>
      </c>
      <c r="D36" s="171">
        <f t="shared" si="11"/>
        <v>120500</v>
      </c>
      <c r="E36" s="171">
        <f t="shared" si="12"/>
        <v>1446000</v>
      </c>
      <c r="F36" s="164">
        <f t="shared" si="10"/>
        <v>1585828.2</v>
      </c>
      <c r="G36" s="164">
        <f t="shared" si="10"/>
        <v>1739177.78694</v>
      </c>
      <c r="H36" s="164">
        <f t="shared" si="10"/>
        <v>1907356.2789370981</v>
      </c>
      <c r="I36" s="164">
        <f t="shared" si="10"/>
        <v>2091797.6311103154</v>
      </c>
    </row>
    <row r="37" spans="1:9" x14ac:dyDescent="0.25">
      <c r="A37" s="78" t="s">
        <v>196</v>
      </c>
      <c r="B37" s="76">
        <v>2</v>
      </c>
      <c r="C37" s="162">
        <v>14210</v>
      </c>
      <c r="D37" s="171">
        <f t="shared" si="11"/>
        <v>28420</v>
      </c>
      <c r="E37" s="171">
        <f t="shared" si="12"/>
        <v>341040</v>
      </c>
      <c r="F37" s="164">
        <f t="shared" si="10"/>
        <v>374018.56800000003</v>
      </c>
      <c r="G37" s="164">
        <f t="shared" si="10"/>
        <v>410186.16352560004</v>
      </c>
      <c r="H37" s="164">
        <f t="shared" si="10"/>
        <v>449851.16553852556</v>
      </c>
      <c r="I37" s="164">
        <f t="shared" si="10"/>
        <v>493351.77324610099</v>
      </c>
    </row>
    <row r="38" spans="1:9" x14ac:dyDescent="0.25">
      <c r="A38" s="80" t="s">
        <v>197</v>
      </c>
      <c r="B38" s="76">
        <v>4</v>
      </c>
      <c r="C38" s="162">
        <v>3890</v>
      </c>
      <c r="D38" s="171">
        <f t="shared" si="11"/>
        <v>15560</v>
      </c>
      <c r="E38" s="171">
        <f t="shared" si="12"/>
        <v>186720</v>
      </c>
      <c r="F38" s="164">
        <f t="shared" si="10"/>
        <v>204775.82399999999</v>
      </c>
      <c r="G38" s="164">
        <f t="shared" si="10"/>
        <v>224577.64618079999</v>
      </c>
      <c r="H38" s="164">
        <f t="shared" si="10"/>
        <v>246294.30456648336</v>
      </c>
      <c r="I38" s="164">
        <f t="shared" si="10"/>
        <v>270110.96381806233</v>
      </c>
    </row>
    <row r="39" spans="1:9" x14ac:dyDescent="0.25">
      <c r="A39" s="78" t="s">
        <v>198</v>
      </c>
      <c r="B39" s="76">
        <v>4</v>
      </c>
      <c r="C39" s="162">
        <v>14980</v>
      </c>
      <c r="D39" s="171">
        <f t="shared" si="11"/>
        <v>59920</v>
      </c>
      <c r="E39" s="171">
        <f t="shared" si="12"/>
        <v>719040</v>
      </c>
      <c r="F39" s="164">
        <f t="shared" si="10"/>
        <v>788571.16800000006</v>
      </c>
      <c r="G39" s="164">
        <f t="shared" si="10"/>
        <v>864825.99994560005</v>
      </c>
      <c r="H39" s="164">
        <f t="shared" si="10"/>
        <v>948454.6741403396</v>
      </c>
      <c r="I39" s="164">
        <f t="shared" si="10"/>
        <v>1040170.2411297105</v>
      </c>
    </row>
    <row r="40" spans="1:9" x14ac:dyDescent="0.25">
      <c r="A40" s="80" t="s">
        <v>199</v>
      </c>
      <c r="B40" s="76">
        <v>2</v>
      </c>
      <c r="C40" s="162">
        <v>11482</v>
      </c>
      <c r="D40" s="171">
        <f t="shared" si="11"/>
        <v>22964</v>
      </c>
      <c r="E40" s="171">
        <f t="shared" si="12"/>
        <v>275568</v>
      </c>
      <c r="F40" s="164">
        <f t="shared" si="10"/>
        <v>302215.42560000002</v>
      </c>
      <c r="G40" s="164">
        <f t="shared" si="10"/>
        <v>331439.65725552</v>
      </c>
      <c r="H40" s="164">
        <f t="shared" si="10"/>
        <v>363489.87211212877</v>
      </c>
      <c r="I40" s="164">
        <f t="shared" si="10"/>
        <v>398639.34274537163</v>
      </c>
    </row>
    <row r="41" spans="1:9" x14ac:dyDescent="0.25">
      <c r="A41" s="396" t="s">
        <v>0</v>
      </c>
      <c r="B41" s="397"/>
      <c r="C41" s="398"/>
      <c r="D41" s="174">
        <f t="shared" ref="D41:I41" si="13">SUM(D29:D40)</f>
        <v>1109029</v>
      </c>
      <c r="E41" s="174">
        <f t="shared" si="13"/>
        <v>13308348</v>
      </c>
      <c r="F41" s="174">
        <f t="shared" si="13"/>
        <v>14595265.251599999</v>
      </c>
      <c r="G41" s="174">
        <f t="shared" si="13"/>
        <v>16006627.401429718</v>
      </c>
      <c r="H41" s="174">
        <f t="shared" si="13"/>
        <v>17554468.271147974</v>
      </c>
      <c r="I41" s="174">
        <f t="shared" si="13"/>
        <v>19251985.352967985</v>
      </c>
    </row>
    <row r="42" spans="1:9" x14ac:dyDescent="0.25">
      <c r="B42" s="32"/>
      <c r="C42" s="32"/>
      <c r="D42" s="32"/>
      <c r="E42" s="32"/>
      <c r="F42" s="32"/>
    </row>
    <row r="43" spans="1:9" x14ac:dyDescent="0.25">
      <c r="A43" s="389" t="s">
        <v>56</v>
      </c>
      <c r="B43" s="390"/>
      <c r="C43" s="390"/>
      <c r="D43" s="390"/>
      <c r="E43" s="390"/>
      <c r="F43" s="390"/>
      <c r="G43" s="390"/>
      <c r="H43" s="390"/>
      <c r="I43" s="391"/>
    </row>
    <row r="44" spans="1:9" x14ac:dyDescent="0.25">
      <c r="A44" s="133" t="s">
        <v>47</v>
      </c>
      <c r="B44" s="133" t="s">
        <v>52</v>
      </c>
      <c r="C44" s="133" t="s">
        <v>48</v>
      </c>
      <c r="D44" s="133" t="s">
        <v>46</v>
      </c>
      <c r="E44" s="133" t="s">
        <v>36</v>
      </c>
      <c r="F44" s="133" t="s">
        <v>38</v>
      </c>
      <c r="G44" s="133" t="s">
        <v>39</v>
      </c>
      <c r="H44" s="133" t="s">
        <v>40</v>
      </c>
      <c r="I44" s="133" t="s">
        <v>41</v>
      </c>
    </row>
    <row r="45" spans="1:9" x14ac:dyDescent="0.25">
      <c r="A45" s="80" t="s">
        <v>113</v>
      </c>
      <c r="B45" s="76">
        <v>10</v>
      </c>
      <c r="C45" s="162">
        <v>18900</v>
      </c>
      <c r="D45" s="171">
        <f>B45*C45</f>
        <v>189000</v>
      </c>
      <c r="E45" s="171">
        <f>D45*12</f>
        <v>2268000</v>
      </c>
      <c r="F45" s="164">
        <f t="shared" ref="F45:I48" si="14">E45*(1+$G$58)</f>
        <v>2487315.6</v>
      </c>
      <c r="G45" s="164">
        <f t="shared" si="14"/>
        <v>2727839.0185199999</v>
      </c>
      <c r="H45" s="164">
        <f t="shared" si="14"/>
        <v>2991621.0516108838</v>
      </c>
      <c r="I45" s="164">
        <f t="shared" si="14"/>
        <v>3280910.8073016563</v>
      </c>
    </row>
    <row r="46" spans="1:9" x14ac:dyDescent="0.25">
      <c r="A46" s="78" t="s">
        <v>98</v>
      </c>
      <c r="B46" s="76">
        <v>5</v>
      </c>
      <c r="C46" s="162">
        <v>10900</v>
      </c>
      <c r="D46" s="171">
        <f t="shared" ref="D46:D48" si="15">B46*C46</f>
        <v>54500</v>
      </c>
      <c r="E46" s="171">
        <f t="shared" ref="E46:E48" si="16">D46*12</f>
        <v>654000</v>
      </c>
      <c r="F46" s="164">
        <f t="shared" si="14"/>
        <v>717241.8</v>
      </c>
      <c r="G46" s="164">
        <f t="shared" si="14"/>
        <v>786599.08206000004</v>
      </c>
      <c r="H46" s="164">
        <f t="shared" si="14"/>
        <v>862663.213295202</v>
      </c>
      <c r="I46" s="164">
        <f t="shared" si="14"/>
        <v>946082.74602084805</v>
      </c>
    </row>
    <row r="47" spans="1:9" x14ac:dyDescent="0.25">
      <c r="A47" s="115" t="s">
        <v>114</v>
      </c>
      <c r="B47" s="76">
        <v>5</v>
      </c>
      <c r="C47" s="162">
        <v>15000</v>
      </c>
      <c r="D47" s="171">
        <f t="shared" si="15"/>
        <v>75000</v>
      </c>
      <c r="E47" s="171">
        <f t="shared" si="16"/>
        <v>900000</v>
      </c>
      <c r="F47" s="164">
        <f t="shared" si="14"/>
        <v>987030</v>
      </c>
      <c r="G47" s="164">
        <f t="shared" si="14"/>
        <v>1082475.801</v>
      </c>
      <c r="H47" s="164">
        <f t="shared" si="14"/>
        <v>1187151.2109566999</v>
      </c>
      <c r="I47" s="164">
        <f t="shared" si="14"/>
        <v>1301948.7330562128</v>
      </c>
    </row>
    <row r="48" spans="1:9" x14ac:dyDescent="0.25">
      <c r="A48" s="78" t="s">
        <v>99</v>
      </c>
      <c r="B48" s="76">
        <v>2</v>
      </c>
      <c r="C48" s="162">
        <v>12900</v>
      </c>
      <c r="D48" s="171">
        <f t="shared" si="15"/>
        <v>25800</v>
      </c>
      <c r="E48" s="171">
        <f t="shared" si="16"/>
        <v>309600</v>
      </c>
      <c r="F48" s="164">
        <f t="shared" si="14"/>
        <v>339538.32</v>
      </c>
      <c r="G48" s="164">
        <f t="shared" si="14"/>
        <v>372371.675544</v>
      </c>
      <c r="H48" s="164">
        <f t="shared" si="14"/>
        <v>408380.0165691048</v>
      </c>
      <c r="I48" s="164">
        <f t="shared" si="14"/>
        <v>447870.36417133722</v>
      </c>
    </row>
    <row r="49" spans="1:16" x14ac:dyDescent="0.25">
      <c r="A49" s="396" t="s">
        <v>0</v>
      </c>
      <c r="B49" s="397"/>
      <c r="C49" s="398"/>
      <c r="D49" s="174">
        <f t="shared" ref="D49:I49" si="17">SUM(D45:D48)</f>
        <v>344300</v>
      </c>
      <c r="E49" s="174">
        <f t="shared" si="17"/>
        <v>4131600</v>
      </c>
      <c r="F49" s="174">
        <f t="shared" si="17"/>
        <v>4531125.7200000007</v>
      </c>
      <c r="G49" s="174">
        <f t="shared" si="17"/>
        <v>4969285.5771240005</v>
      </c>
      <c r="H49" s="174">
        <f t="shared" si="17"/>
        <v>5449815.4924318912</v>
      </c>
      <c r="I49" s="174">
        <f t="shared" si="17"/>
        <v>5976812.6505500544</v>
      </c>
    </row>
    <row r="51" spans="1:16" x14ac:dyDescent="0.25">
      <c r="A51" s="392" t="s">
        <v>57</v>
      </c>
      <c r="B51" s="392"/>
      <c r="C51" s="392"/>
      <c r="D51" s="392"/>
      <c r="E51" s="392"/>
      <c r="F51" s="392"/>
      <c r="G51" s="392"/>
      <c r="H51" s="392"/>
      <c r="I51" s="392"/>
    </row>
    <row r="52" spans="1:16" x14ac:dyDescent="0.25">
      <c r="A52" s="133" t="s">
        <v>47</v>
      </c>
      <c r="B52" s="133" t="s">
        <v>52</v>
      </c>
      <c r="C52" s="133" t="s">
        <v>48</v>
      </c>
      <c r="D52" s="133" t="s">
        <v>46</v>
      </c>
      <c r="E52" s="133" t="s">
        <v>36</v>
      </c>
      <c r="F52" s="133" t="s">
        <v>38</v>
      </c>
      <c r="G52" s="133" t="s">
        <v>39</v>
      </c>
      <c r="H52" s="133" t="s">
        <v>40</v>
      </c>
      <c r="I52" s="133" t="s">
        <v>41</v>
      </c>
    </row>
    <row r="53" spans="1:16" x14ac:dyDescent="0.25">
      <c r="A53" s="197" t="s">
        <v>58</v>
      </c>
      <c r="B53" s="81">
        <v>1</v>
      </c>
      <c r="C53" s="198">
        <v>645200</v>
      </c>
      <c r="D53" s="171">
        <f t="shared" ref="D53" si="18">B53*C53</f>
        <v>645200</v>
      </c>
      <c r="E53" s="171">
        <f t="shared" ref="E53" si="19">D53*12</f>
        <v>7742400</v>
      </c>
      <c r="F53" s="164">
        <f>E53*(1+$K$53)</f>
        <v>8740395.3599999994</v>
      </c>
      <c r="G53" s="164">
        <f t="shared" ref="G53:I53" si="20">F53*(1+$K$53)</f>
        <v>9867032.3219039999</v>
      </c>
      <c r="H53" s="164">
        <f t="shared" si="20"/>
        <v>11138892.788197426</v>
      </c>
      <c r="I53" s="164">
        <f t="shared" si="20"/>
        <v>12574696.068596074</v>
      </c>
      <c r="K53" s="200">
        <v>0.12889999999999999</v>
      </c>
    </row>
    <row r="54" spans="1:16" x14ac:dyDescent="0.25">
      <c r="A54" s="197" t="s">
        <v>115</v>
      </c>
      <c r="B54" s="81">
        <v>1</v>
      </c>
      <c r="C54" s="198">
        <v>840530</v>
      </c>
      <c r="D54" s="171">
        <f t="shared" ref="D54" si="21">B54*C54</f>
        <v>840530</v>
      </c>
      <c r="E54" s="171">
        <f t="shared" ref="E54" si="22">D54*12</f>
        <v>10086360</v>
      </c>
      <c r="F54" s="164">
        <f t="shared" ref="F54:I54" si="23">E54*(1+$K$53)</f>
        <v>11386491.804</v>
      </c>
      <c r="G54" s="164">
        <f t="shared" si="23"/>
        <v>12854210.597535599</v>
      </c>
      <c r="H54" s="164">
        <f t="shared" si="23"/>
        <v>14511118.343557937</v>
      </c>
      <c r="I54" s="164">
        <f t="shared" si="23"/>
        <v>16381601.498042556</v>
      </c>
      <c r="K54" s="151"/>
    </row>
    <row r="55" spans="1:16" x14ac:dyDescent="0.25">
      <c r="A55" s="393" t="s">
        <v>0</v>
      </c>
      <c r="B55" s="394"/>
      <c r="C55" s="395"/>
      <c r="D55" s="175">
        <f t="shared" ref="D55:I55" si="24">SUM(D53:D54)</f>
        <v>1485730</v>
      </c>
      <c r="E55" s="175">
        <f t="shared" si="24"/>
        <v>17828760</v>
      </c>
      <c r="F55" s="175">
        <f t="shared" si="24"/>
        <v>20126887.163999997</v>
      </c>
      <c r="G55" s="175">
        <f t="shared" si="24"/>
        <v>22721242.919439599</v>
      </c>
      <c r="H55" s="175">
        <f t="shared" si="24"/>
        <v>25650011.131755363</v>
      </c>
      <c r="I55" s="175">
        <f t="shared" si="24"/>
        <v>28956297.56663863</v>
      </c>
    </row>
    <row r="56" spans="1:16" x14ac:dyDescent="0.25">
      <c r="A56" s="147"/>
      <c r="B56" s="147"/>
      <c r="C56" s="147"/>
      <c r="D56" s="85"/>
      <c r="E56" s="309">
        <f>+E55+E49+E41+E25+E18+E12</f>
        <v>159136548</v>
      </c>
      <c r="F56" s="309">
        <f t="shared" ref="F56:I56" si="25">+F55+F49+F41+F25+F18+F12</f>
        <v>175099138.26359999</v>
      </c>
      <c r="G56" s="309">
        <f t="shared" si="25"/>
        <v>192679310.70037094</v>
      </c>
      <c r="H56" s="309">
        <f t="shared" si="25"/>
        <v>212043024.06710279</v>
      </c>
      <c r="I56" s="309">
        <f t="shared" si="25"/>
        <v>233373514.85283411</v>
      </c>
    </row>
    <row r="57" spans="1:16" x14ac:dyDescent="0.25">
      <c r="G57" s="76" t="s">
        <v>87</v>
      </c>
      <c r="H57" s="76" t="s">
        <v>50</v>
      </c>
      <c r="I57" s="76" t="s">
        <v>51</v>
      </c>
    </row>
    <row r="58" spans="1:16" x14ac:dyDescent="0.25">
      <c r="B58" s="84"/>
      <c r="C58" s="84"/>
      <c r="D58" s="85"/>
      <c r="F58" s="131" t="s">
        <v>63</v>
      </c>
      <c r="G58" s="160">
        <v>9.6699999999999994E-2</v>
      </c>
      <c r="H58" s="161">
        <v>6.8000000000000005E-2</v>
      </c>
      <c r="I58" s="161">
        <v>0.1883</v>
      </c>
    </row>
    <row r="59" spans="1:16" x14ac:dyDescent="0.25">
      <c r="B59" s="84"/>
      <c r="C59" s="84"/>
      <c r="D59" s="85"/>
      <c r="E59" s="116"/>
      <c r="F59" s="117"/>
    </row>
    <row r="60" spans="1:16" x14ac:dyDescent="0.25">
      <c r="A60" s="148"/>
      <c r="B60" s="372" t="s">
        <v>87</v>
      </c>
      <c r="C60" s="373"/>
      <c r="D60" s="373"/>
      <c r="E60" s="373"/>
      <c r="F60" s="374"/>
      <c r="G60" s="357" t="s">
        <v>50</v>
      </c>
      <c r="H60" s="358"/>
      <c r="I60" s="358"/>
      <c r="J60" s="358"/>
      <c r="K60" s="359"/>
      <c r="L60" s="383" t="s">
        <v>51</v>
      </c>
      <c r="M60" s="384"/>
      <c r="N60" s="384"/>
      <c r="O60" s="384"/>
      <c r="P60" s="385"/>
    </row>
    <row r="61" spans="1:16" x14ac:dyDescent="0.25">
      <c r="A61" s="118" t="s">
        <v>24</v>
      </c>
      <c r="B61" s="139" t="s">
        <v>36</v>
      </c>
      <c r="C61" s="139" t="s">
        <v>38</v>
      </c>
      <c r="D61" s="139" t="s">
        <v>39</v>
      </c>
      <c r="E61" s="139" t="s">
        <v>40</v>
      </c>
      <c r="F61" s="135" t="s">
        <v>41</v>
      </c>
      <c r="G61" s="108" t="s">
        <v>36</v>
      </c>
      <c r="H61" s="108" t="s">
        <v>38</v>
      </c>
      <c r="I61" s="108" t="s">
        <v>39</v>
      </c>
      <c r="J61" s="108" t="s">
        <v>40</v>
      </c>
      <c r="K61" s="134" t="s">
        <v>41</v>
      </c>
      <c r="L61" s="119" t="s">
        <v>36</v>
      </c>
      <c r="M61" s="119" t="s">
        <v>38</v>
      </c>
      <c r="N61" s="119" t="s">
        <v>39</v>
      </c>
      <c r="O61" s="119" t="s">
        <v>40</v>
      </c>
      <c r="P61" s="119" t="s">
        <v>41</v>
      </c>
    </row>
    <row r="62" spans="1:16" x14ac:dyDescent="0.25">
      <c r="A62" s="86" t="s">
        <v>59</v>
      </c>
      <c r="B62" s="267"/>
      <c r="C62" s="267"/>
      <c r="D62" s="267"/>
      <c r="E62" s="267"/>
      <c r="F62" s="268"/>
      <c r="G62" s="110"/>
      <c r="H62" s="110"/>
      <c r="I62" s="110"/>
      <c r="J62" s="110"/>
      <c r="K62" s="110"/>
      <c r="L62" s="110"/>
      <c r="M62" s="110"/>
      <c r="N62" s="110"/>
      <c r="O62" s="110"/>
      <c r="P62" s="110"/>
    </row>
    <row r="63" spans="1:16" x14ac:dyDescent="0.25">
      <c r="A63" s="82" t="s">
        <v>200</v>
      </c>
      <c r="B63" s="269">
        <f>B7</f>
        <v>1001187132.0333333</v>
      </c>
      <c r="C63" s="269">
        <f t="shared" ref="C63:F63" si="26">C7</f>
        <v>1189046881.9266717</v>
      </c>
      <c r="D63" s="269">
        <f t="shared" si="26"/>
        <v>1412156071.7107465</v>
      </c>
      <c r="E63" s="269">
        <f t="shared" si="26"/>
        <v>1677128800.5383356</v>
      </c>
      <c r="F63" s="269">
        <f t="shared" si="26"/>
        <v>1991820217.2849472</v>
      </c>
      <c r="G63" s="111">
        <f>G7</f>
        <v>1001187132.0333333</v>
      </c>
      <c r="H63" s="111">
        <f t="shared" ref="H63:K63" si="27">H7</f>
        <v>1210951855.1884291</v>
      </c>
      <c r="I63" s="111">
        <f t="shared" si="27"/>
        <v>1464665644.0800879</v>
      </c>
      <c r="J63" s="111">
        <f t="shared" si="27"/>
        <v>1771536531.1651716</v>
      </c>
      <c r="K63" s="111">
        <f t="shared" si="27"/>
        <v>2142701779.0287733</v>
      </c>
      <c r="L63" s="111">
        <f>L7</f>
        <v>1001187132.0333333</v>
      </c>
      <c r="M63" s="111">
        <f t="shared" ref="M63:P63" si="28">M7</f>
        <v>1143551937.459945</v>
      </c>
      <c r="N63" s="111">
        <f t="shared" si="28"/>
        <v>1306160448.7589993</v>
      </c>
      <c r="O63" s="111">
        <f t="shared" si="28"/>
        <v>1491891239.9307339</v>
      </c>
      <c r="P63" s="111">
        <f t="shared" si="28"/>
        <v>1704032206.6839244</v>
      </c>
    </row>
    <row r="64" spans="1:16" x14ac:dyDescent="0.25">
      <c r="A64" s="83" t="s">
        <v>60</v>
      </c>
      <c r="B64" s="270">
        <f t="shared" ref="B64:P64" si="29">SUM(B63:B63)</f>
        <v>1001187132.0333333</v>
      </c>
      <c r="C64" s="270">
        <f t="shared" si="29"/>
        <v>1189046881.9266717</v>
      </c>
      <c r="D64" s="270">
        <f t="shared" si="29"/>
        <v>1412156071.7107465</v>
      </c>
      <c r="E64" s="270">
        <f t="shared" si="29"/>
        <v>1677128800.5383356</v>
      </c>
      <c r="F64" s="271">
        <f t="shared" si="29"/>
        <v>1991820217.2849472</v>
      </c>
      <c r="G64" s="112">
        <f t="shared" si="29"/>
        <v>1001187132.0333333</v>
      </c>
      <c r="H64" s="112">
        <f t="shared" si="29"/>
        <v>1210951855.1884291</v>
      </c>
      <c r="I64" s="112">
        <f t="shared" si="29"/>
        <v>1464665644.0800879</v>
      </c>
      <c r="J64" s="112">
        <f t="shared" si="29"/>
        <v>1771536531.1651716</v>
      </c>
      <c r="K64" s="112">
        <f t="shared" si="29"/>
        <v>2142701779.0287733</v>
      </c>
      <c r="L64" s="112">
        <f t="shared" si="29"/>
        <v>1001187132.0333333</v>
      </c>
      <c r="M64" s="112">
        <f t="shared" si="29"/>
        <v>1143551937.459945</v>
      </c>
      <c r="N64" s="112">
        <f t="shared" si="29"/>
        <v>1306160448.7589993</v>
      </c>
      <c r="O64" s="112">
        <f t="shared" si="29"/>
        <v>1491891239.9307339</v>
      </c>
      <c r="P64" s="112">
        <f t="shared" si="29"/>
        <v>1704032206.6839244</v>
      </c>
    </row>
    <row r="65" spans="1:16" x14ac:dyDescent="0.25">
      <c r="A65" s="86" t="s">
        <v>61</v>
      </c>
      <c r="B65" s="267"/>
      <c r="C65" s="267"/>
      <c r="D65" s="267"/>
      <c r="E65" s="267"/>
      <c r="F65" s="268"/>
      <c r="G65" s="110"/>
      <c r="H65" s="110"/>
      <c r="I65" s="110"/>
      <c r="J65" s="110"/>
      <c r="K65" s="110"/>
      <c r="L65" s="110"/>
      <c r="M65" s="110"/>
      <c r="N65" s="110"/>
      <c r="O65" s="110"/>
      <c r="P65" s="110"/>
    </row>
    <row r="66" spans="1:16" x14ac:dyDescent="0.25">
      <c r="A66" s="49" t="s">
        <v>201</v>
      </c>
      <c r="B66" s="269">
        <f>Sueldos!C60</f>
        <v>147000000</v>
      </c>
      <c r="C66" s="269">
        <f>Sueldos!D60</f>
        <v>161802900</v>
      </c>
      <c r="D66" s="269">
        <f>Sueldos!E60</f>
        <v>178096452.24000001</v>
      </c>
      <c r="E66" s="269">
        <f>Sueldos!F60</f>
        <v>196030765.19999999</v>
      </c>
      <c r="F66" s="269">
        <f>Sueldos!G60</f>
        <v>215771063.16</v>
      </c>
      <c r="G66" s="257">
        <f>B66</f>
        <v>147000000</v>
      </c>
      <c r="H66" s="257">
        <f t="shared" ref="H66:K66" si="30">C66</f>
        <v>161802900</v>
      </c>
      <c r="I66" s="257">
        <f t="shared" si="30"/>
        <v>178096452.24000001</v>
      </c>
      <c r="J66" s="257">
        <f t="shared" si="30"/>
        <v>196030765.19999999</v>
      </c>
      <c r="K66" s="257">
        <f t="shared" si="30"/>
        <v>215771063.16</v>
      </c>
      <c r="L66" s="257">
        <f>B66</f>
        <v>147000000</v>
      </c>
      <c r="M66" s="257">
        <f t="shared" ref="M66:P66" si="31">C66</f>
        <v>161802900</v>
      </c>
      <c r="N66" s="257">
        <f t="shared" si="31"/>
        <v>178096452.24000001</v>
      </c>
      <c r="O66" s="257">
        <f t="shared" si="31"/>
        <v>196030765.19999999</v>
      </c>
      <c r="P66" s="257">
        <f t="shared" si="31"/>
        <v>215771063.16</v>
      </c>
    </row>
    <row r="67" spans="1:16" x14ac:dyDescent="0.25">
      <c r="A67" s="82" t="s">
        <v>83</v>
      </c>
      <c r="B67" s="269">
        <f>E12</f>
        <v>43680000</v>
      </c>
      <c r="C67" s="269">
        <f t="shared" ref="C67:F67" si="32">F12</f>
        <v>47903856</v>
      </c>
      <c r="D67" s="269">
        <f t="shared" si="32"/>
        <v>52536158.875200003</v>
      </c>
      <c r="E67" s="269">
        <f t="shared" si="32"/>
        <v>57616405.438431844</v>
      </c>
      <c r="F67" s="269">
        <f t="shared" si="32"/>
        <v>63187911.844328202</v>
      </c>
      <c r="G67" s="87">
        <f>B67</f>
        <v>43680000</v>
      </c>
      <c r="H67" s="87">
        <f t="shared" ref="H67:H72" si="33">G67*(1+$H$58)</f>
        <v>46650240</v>
      </c>
      <c r="I67" s="87">
        <f t="shared" ref="I67:K67" si="34">H67*(1+$H$58)</f>
        <v>49822456.32</v>
      </c>
      <c r="J67" s="87">
        <f t="shared" si="34"/>
        <v>53210383.349760003</v>
      </c>
      <c r="K67" s="87">
        <f t="shared" si="34"/>
        <v>56828689.417543687</v>
      </c>
      <c r="L67" s="111">
        <f>B67</f>
        <v>43680000</v>
      </c>
      <c r="M67" s="87">
        <f t="shared" ref="M67:M72" si="35">L67*(1+$I$58)</f>
        <v>51904943.999999993</v>
      </c>
      <c r="N67" s="87">
        <f t="shared" ref="N67:P67" si="36">M67*(1+$I$58)</f>
        <v>61678644.955199987</v>
      </c>
      <c r="O67" s="87">
        <f t="shared" si="36"/>
        <v>73292733.800264135</v>
      </c>
      <c r="P67" s="87">
        <f t="shared" si="36"/>
        <v>87093755.574853867</v>
      </c>
    </row>
    <row r="68" spans="1:16" x14ac:dyDescent="0.25">
      <c r="A68" s="80" t="s">
        <v>19</v>
      </c>
      <c r="B68" s="269">
        <f>E18</f>
        <v>72242400</v>
      </c>
      <c r="C68" s="269">
        <f t="shared" ref="C68:F68" si="37">F18</f>
        <v>79228240.079999998</v>
      </c>
      <c r="D68" s="269">
        <f t="shared" si="37"/>
        <v>86889610.895736009</v>
      </c>
      <c r="E68" s="269">
        <f t="shared" si="37"/>
        <v>95291836.269353688</v>
      </c>
      <c r="F68" s="269">
        <f t="shared" si="37"/>
        <v>104506556.83660018</v>
      </c>
      <c r="G68" s="87">
        <f t="shared" ref="G68:G71" si="38">B68</f>
        <v>72242400</v>
      </c>
      <c r="H68" s="87">
        <f t="shared" si="33"/>
        <v>77154883.200000003</v>
      </c>
      <c r="I68" s="87">
        <f t="shared" ref="I68:K71" si="39">H68*(1+$H$58)</f>
        <v>82401415.257600009</v>
      </c>
      <c r="J68" s="87">
        <f t="shared" si="39"/>
        <v>88004711.495116815</v>
      </c>
      <c r="K68" s="87">
        <f t="shared" si="39"/>
        <v>93989031.876784757</v>
      </c>
      <c r="L68" s="111">
        <f t="shared" ref="L68:L69" si="40">B68</f>
        <v>72242400</v>
      </c>
      <c r="M68" s="87">
        <f t="shared" si="35"/>
        <v>85845643.919999987</v>
      </c>
      <c r="N68" s="87">
        <f t="shared" ref="N68:P71" si="41">M68*(1+$I$58)</f>
        <v>102010378.67013597</v>
      </c>
      <c r="O68" s="87">
        <f t="shared" si="41"/>
        <v>121218932.97372258</v>
      </c>
      <c r="P68" s="87">
        <f t="shared" si="41"/>
        <v>144044458.05267453</v>
      </c>
    </row>
    <row r="69" spans="1:16" x14ac:dyDescent="0.25">
      <c r="A69" s="82" t="s">
        <v>4</v>
      </c>
      <c r="B69" s="269">
        <f>E25</f>
        <v>7945440</v>
      </c>
      <c r="C69" s="269">
        <f t="shared" ref="C69:F69" si="42">F25</f>
        <v>8713764.0480000004</v>
      </c>
      <c r="D69" s="269">
        <f t="shared" si="42"/>
        <v>9556385.0314415991</v>
      </c>
      <c r="E69" s="269">
        <f t="shared" si="42"/>
        <v>10480487.463982003</v>
      </c>
      <c r="F69" s="269">
        <f t="shared" si="42"/>
        <v>11493950.601749063</v>
      </c>
      <c r="G69" s="87">
        <f t="shared" si="38"/>
        <v>7945440</v>
      </c>
      <c r="H69" s="87">
        <f t="shared" si="33"/>
        <v>8485729.9199999999</v>
      </c>
      <c r="I69" s="87">
        <f t="shared" si="39"/>
        <v>9062759.5545600001</v>
      </c>
      <c r="J69" s="87">
        <f t="shared" si="39"/>
        <v>9679027.2042700797</v>
      </c>
      <c r="K69" s="87">
        <f t="shared" si="39"/>
        <v>10337201.054160446</v>
      </c>
      <c r="L69" s="111">
        <f t="shared" si="40"/>
        <v>7945440</v>
      </c>
      <c r="M69" s="87">
        <f t="shared" si="35"/>
        <v>9441566.352</v>
      </c>
      <c r="N69" s="87">
        <f t="shared" si="41"/>
        <v>11219413.296081599</v>
      </c>
      <c r="O69" s="87">
        <f t="shared" si="41"/>
        <v>13332028.819733763</v>
      </c>
      <c r="P69" s="87">
        <f t="shared" si="41"/>
        <v>15842449.846489629</v>
      </c>
    </row>
    <row r="70" spans="1:16" x14ac:dyDescent="0.25">
      <c r="A70" s="82" t="s">
        <v>202</v>
      </c>
      <c r="B70" s="269">
        <f>E41</f>
        <v>13308348</v>
      </c>
      <c r="C70" s="269">
        <f t="shared" ref="C70:F70" si="43">F41</f>
        <v>14595265.251599999</v>
      </c>
      <c r="D70" s="269">
        <f t="shared" si="43"/>
        <v>16006627.401429718</v>
      </c>
      <c r="E70" s="269">
        <f t="shared" si="43"/>
        <v>17554468.271147974</v>
      </c>
      <c r="F70" s="269">
        <f t="shared" si="43"/>
        <v>19251985.352967985</v>
      </c>
      <c r="G70" s="87">
        <f>B70</f>
        <v>13308348</v>
      </c>
      <c r="H70" s="87">
        <f t="shared" si="33"/>
        <v>14213315.664000001</v>
      </c>
      <c r="I70" s="87">
        <f t="shared" si="39"/>
        <v>15179821.129152002</v>
      </c>
      <c r="J70" s="87">
        <f t="shared" si="39"/>
        <v>16212048.965934338</v>
      </c>
      <c r="K70" s="87">
        <f t="shared" si="39"/>
        <v>17314468.295617875</v>
      </c>
      <c r="L70" s="111">
        <f>B70</f>
        <v>13308348</v>
      </c>
      <c r="M70" s="87">
        <f t="shared" si="35"/>
        <v>15814309.928399999</v>
      </c>
      <c r="N70" s="87">
        <f t="shared" si="41"/>
        <v>18792144.487917718</v>
      </c>
      <c r="O70" s="87">
        <f t="shared" si="41"/>
        <v>22330705.294992622</v>
      </c>
      <c r="P70" s="87">
        <f t="shared" si="41"/>
        <v>26535577.102039732</v>
      </c>
    </row>
    <row r="71" spans="1:16" x14ac:dyDescent="0.25">
      <c r="A71" s="82" t="s">
        <v>5</v>
      </c>
      <c r="B71" s="269">
        <f>E49</f>
        <v>4131600</v>
      </c>
      <c r="C71" s="269">
        <f t="shared" ref="C71:F71" si="44">F49</f>
        <v>4531125.7200000007</v>
      </c>
      <c r="D71" s="269">
        <f t="shared" si="44"/>
        <v>4969285.5771240005</v>
      </c>
      <c r="E71" s="269">
        <f t="shared" si="44"/>
        <v>5449815.4924318912</v>
      </c>
      <c r="F71" s="269">
        <f t="shared" si="44"/>
        <v>5976812.6505500544</v>
      </c>
      <c r="G71" s="87">
        <f t="shared" si="38"/>
        <v>4131600</v>
      </c>
      <c r="H71" s="87">
        <f t="shared" si="33"/>
        <v>4412548.8</v>
      </c>
      <c r="I71" s="87">
        <f t="shared" si="39"/>
        <v>4712602.1184</v>
      </c>
      <c r="J71" s="87">
        <f t="shared" si="39"/>
        <v>5033059.0624512006</v>
      </c>
      <c r="K71" s="87">
        <f t="shared" si="39"/>
        <v>5375307.0786978826</v>
      </c>
      <c r="L71" s="111">
        <f>B71</f>
        <v>4131600</v>
      </c>
      <c r="M71" s="87">
        <f t="shared" si="35"/>
        <v>4909580.2799999993</v>
      </c>
      <c r="N71" s="87">
        <f t="shared" si="41"/>
        <v>5834054.2467239983</v>
      </c>
      <c r="O71" s="87">
        <f t="shared" si="41"/>
        <v>6932606.6613821266</v>
      </c>
      <c r="P71" s="87">
        <f t="shared" si="41"/>
        <v>8238016.4957203809</v>
      </c>
    </row>
    <row r="72" spans="1:16" x14ac:dyDescent="0.25">
      <c r="A72" s="82" t="s">
        <v>62</v>
      </c>
      <c r="B72" s="269">
        <f>E55</f>
        <v>17828760</v>
      </c>
      <c r="C72" s="269">
        <f t="shared" ref="C72:F72" si="45">F55</f>
        <v>20126887.163999997</v>
      </c>
      <c r="D72" s="269">
        <f t="shared" si="45"/>
        <v>22721242.919439599</v>
      </c>
      <c r="E72" s="269">
        <f t="shared" si="45"/>
        <v>25650011.131755363</v>
      </c>
      <c r="F72" s="269">
        <f t="shared" si="45"/>
        <v>28956297.56663863</v>
      </c>
      <c r="G72" s="87">
        <f>B72</f>
        <v>17828760</v>
      </c>
      <c r="H72" s="87">
        <f t="shared" si="33"/>
        <v>19041115.68</v>
      </c>
      <c r="I72" s="87">
        <f t="shared" ref="I72:K72" si="46">H72*(1+$H$58)</f>
        <v>20335911.546240002</v>
      </c>
      <c r="J72" s="87">
        <f t="shared" si="46"/>
        <v>21718753.531384323</v>
      </c>
      <c r="K72" s="87">
        <f t="shared" si="46"/>
        <v>23195628.771518458</v>
      </c>
      <c r="L72" s="111">
        <f>B72</f>
        <v>17828760</v>
      </c>
      <c r="M72" s="87">
        <f t="shared" si="35"/>
        <v>21185915.507999998</v>
      </c>
      <c r="N72" s="87">
        <f t="shared" ref="N72:P72" si="47">M72*(1+$I$58)</f>
        <v>25175223.398156397</v>
      </c>
      <c r="O72" s="87">
        <f t="shared" si="47"/>
        <v>29915717.964029245</v>
      </c>
      <c r="P72" s="87">
        <f t="shared" si="47"/>
        <v>35548847.656655952</v>
      </c>
    </row>
    <row r="73" spans="1:16" x14ac:dyDescent="0.25">
      <c r="A73" s="82" t="s">
        <v>8</v>
      </c>
      <c r="B73" s="269">
        <f>'Dep. y amort. '!B5</f>
        <v>40934929.733333334</v>
      </c>
      <c r="C73" s="269">
        <f>'Dep. y amort. '!C5</f>
        <v>40934929.733333334</v>
      </c>
      <c r="D73" s="269">
        <f>'Dep. y amort. '!D5</f>
        <v>40934929.733333334</v>
      </c>
      <c r="E73" s="269">
        <f>'Dep. y amort. '!E5</f>
        <v>40934929.733333334</v>
      </c>
      <c r="F73" s="269">
        <f>'Dep. y amort. '!F5</f>
        <v>40934929.733333334</v>
      </c>
      <c r="G73" s="87">
        <f>B73</f>
        <v>40934929.733333334</v>
      </c>
      <c r="H73" s="87">
        <f>G73</f>
        <v>40934929.733333334</v>
      </c>
      <c r="I73" s="87">
        <f t="shared" ref="I73:K74" si="48">H73</f>
        <v>40934929.733333334</v>
      </c>
      <c r="J73" s="87">
        <f t="shared" si="48"/>
        <v>40934929.733333334</v>
      </c>
      <c r="K73" s="87">
        <f t="shared" si="48"/>
        <v>40934929.733333334</v>
      </c>
      <c r="L73" s="87">
        <f>B73</f>
        <v>40934929.733333334</v>
      </c>
      <c r="M73" s="87">
        <f>L73</f>
        <v>40934929.733333334</v>
      </c>
      <c r="N73" s="87">
        <f t="shared" ref="N73:P74" si="49">M73</f>
        <v>40934929.733333334</v>
      </c>
      <c r="O73" s="87">
        <f t="shared" si="49"/>
        <v>40934929.733333334</v>
      </c>
      <c r="P73" s="87">
        <f t="shared" si="49"/>
        <v>40934929.733333334</v>
      </c>
    </row>
    <row r="74" spans="1:16" x14ac:dyDescent="0.25">
      <c r="A74" s="82" t="s">
        <v>9</v>
      </c>
      <c r="B74" s="269">
        <f>'Dep. y amort. '!C11</f>
        <v>83940</v>
      </c>
      <c r="C74" s="269">
        <f>'Dep. y amort. '!D11</f>
        <v>83940</v>
      </c>
      <c r="D74" s="269">
        <f>'Dep. y amort. '!E11</f>
        <v>83940</v>
      </c>
      <c r="E74" s="269">
        <f>'Dep. y amort. '!F11</f>
        <v>83940</v>
      </c>
      <c r="F74" s="269">
        <f>'Dep. y amort. '!G11</f>
        <v>83940</v>
      </c>
      <c r="G74" s="87">
        <f>B74</f>
        <v>83940</v>
      </c>
      <c r="H74" s="87">
        <f>G74</f>
        <v>83940</v>
      </c>
      <c r="I74" s="87">
        <f t="shared" si="48"/>
        <v>83940</v>
      </c>
      <c r="J74" s="87">
        <f t="shared" si="48"/>
        <v>83940</v>
      </c>
      <c r="K74" s="87">
        <f t="shared" si="48"/>
        <v>83940</v>
      </c>
      <c r="L74" s="87">
        <f>B74</f>
        <v>83940</v>
      </c>
      <c r="M74" s="87">
        <f>L74</f>
        <v>83940</v>
      </c>
      <c r="N74" s="87">
        <f t="shared" si="49"/>
        <v>83940</v>
      </c>
      <c r="O74" s="87">
        <f t="shared" si="49"/>
        <v>83940</v>
      </c>
      <c r="P74" s="87">
        <f t="shared" si="49"/>
        <v>83940</v>
      </c>
    </row>
    <row r="75" spans="1:16" x14ac:dyDescent="0.25">
      <c r="A75" s="83" t="s">
        <v>23</v>
      </c>
      <c r="B75" s="272">
        <f t="shared" ref="B75:P75" si="50">SUM(B67:B74)</f>
        <v>200155417.73333335</v>
      </c>
      <c r="C75" s="272">
        <f t="shared" si="50"/>
        <v>216118007.99693334</v>
      </c>
      <c r="D75" s="272">
        <f t="shared" si="50"/>
        <v>233698180.43370426</v>
      </c>
      <c r="E75" s="272">
        <f t="shared" si="50"/>
        <v>253061893.80043608</v>
      </c>
      <c r="F75" s="273">
        <f t="shared" si="50"/>
        <v>274392384.58616745</v>
      </c>
      <c r="G75" s="113">
        <f t="shared" si="50"/>
        <v>200155417.73333335</v>
      </c>
      <c r="H75" s="113">
        <f t="shared" si="50"/>
        <v>210976702.99733335</v>
      </c>
      <c r="I75" s="113">
        <f t="shared" si="50"/>
        <v>222533835.65928537</v>
      </c>
      <c r="J75" s="113">
        <f t="shared" si="50"/>
        <v>234876853.34225011</v>
      </c>
      <c r="K75" s="113">
        <f t="shared" si="50"/>
        <v>248059196.22765648</v>
      </c>
      <c r="L75" s="113">
        <f t="shared" si="50"/>
        <v>200155417.73333335</v>
      </c>
      <c r="M75" s="113">
        <f t="shared" si="50"/>
        <v>230120829.72173333</v>
      </c>
      <c r="N75" s="113">
        <f t="shared" si="50"/>
        <v>265728728.78754902</v>
      </c>
      <c r="O75" s="113">
        <f t="shared" si="50"/>
        <v>308041595.2474578</v>
      </c>
      <c r="P75" s="113">
        <f t="shared" si="50"/>
        <v>358321974.46176749</v>
      </c>
    </row>
    <row r="76" spans="1:16" x14ac:dyDescent="0.25">
      <c r="A76" s="83" t="s">
        <v>0</v>
      </c>
      <c r="B76" s="274">
        <f>B64+B75</f>
        <v>1201342549.7666667</v>
      </c>
      <c r="C76" s="274">
        <f t="shared" ref="C76:P76" si="51">C64+C75</f>
        <v>1405164889.923605</v>
      </c>
      <c r="D76" s="274">
        <f t="shared" si="51"/>
        <v>1645854252.1444507</v>
      </c>
      <c r="E76" s="274">
        <f t="shared" si="51"/>
        <v>1930190694.3387716</v>
      </c>
      <c r="F76" s="275">
        <f t="shared" si="51"/>
        <v>2266212601.8711147</v>
      </c>
      <c r="G76" s="114">
        <f t="shared" si="51"/>
        <v>1201342549.7666667</v>
      </c>
      <c r="H76" s="114">
        <f t="shared" si="51"/>
        <v>1421928558.1857624</v>
      </c>
      <c r="I76" s="114">
        <f t="shared" si="51"/>
        <v>1687199479.7393732</v>
      </c>
      <c r="J76" s="114">
        <f t="shared" si="51"/>
        <v>2006413384.5074217</v>
      </c>
      <c r="K76" s="114">
        <f t="shared" si="51"/>
        <v>2390760975.2564297</v>
      </c>
      <c r="L76" s="114">
        <f t="shared" si="51"/>
        <v>1201342549.7666667</v>
      </c>
      <c r="M76" s="114">
        <f t="shared" si="51"/>
        <v>1373672767.1816783</v>
      </c>
      <c r="N76" s="114">
        <f t="shared" si="51"/>
        <v>1571889177.5465484</v>
      </c>
      <c r="O76" s="114">
        <f t="shared" si="51"/>
        <v>1799932835.1781917</v>
      </c>
      <c r="P76" s="114">
        <f t="shared" si="51"/>
        <v>2062354181.1456919</v>
      </c>
    </row>
    <row r="79" spans="1:16" x14ac:dyDescent="0.25">
      <c r="B79" s="253">
        <f>SUM(B67:B72)</f>
        <v>159136548</v>
      </c>
    </row>
  </sheetData>
  <mergeCells count="18">
    <mergeCell ref="L4:P4"/>
    <mergeCell ref="A18:C18"/>
    <mergeCell ref="A12:C12"/>
    <mergeCell ref="A9:I9"/>
    <mergeCell ref="A14:I14"/>
    <mergeCell ref="B4:F4"/>
    <mergeCell ref="G4:K4"/>
    <mergeCell ref="L60:P60"/>
    <mergeCell ref="A20:I20"/>
    <mergeCell ref="A43:I43"/>
    <mergeCell ref="A51:I51"/>
    <mergeCell ref="A55:C55"/>
    <mergeCell ref="B60:F60"/>
    <mergeCell ref="G60:K60"/>
    <mergeCell ref="A27:I27"/>
    <mergeCell ref="A41:C41"/>
    <mergeCell ref="A49:C49"/>
    <mergeCell ref="A25:C25"/>
  </mergeCells>
  <phoneticPr fontId="2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30CA-A190-4CCA-BB10-D79598F1A7B6}">
  <dimension ref="A1:H77"/>
  <sheetViews>
    <sheetView topLeftCell="A58" workbookViewId="0">
      <selection activeCell="G76" sqref="G76"/>
    </sheetView>
  </sheetViews>
  <sheetFormatPr baseColWidth="10" defaultColWidth="11.42578125" defaultRowHeight="14.25" x14ac:dyDescent="0.2"/>
  <cols>
    <col min="1" max="1" width="34.28515625" style="205" bestFit="1" customWidth="1"/>
    <col min="2" max="3" width="18.5703125" style="205" bestFit="1" customWidth="1"/>
    <col min="4" max="6" width="19.7109375" style="205" bestFit="1" customWidth="1"/>
    <col min="7" max="7" width="13.7109375" style="205" bestFit="1" customWidth="1"/>
    <col min="8" max="16384" width="11.42578125" style="205"/>
  </cols>
  <sheetData>
    <row r="1" spans="1:8" x14ac:dyDescent="0.2">
      <c r="A1" s="405" t="s">
        <v>134</v>
      </c>
      <c r="B1" s="405"/>
      <c r="C1" s="405"/>
      <c r="D1" s="405"/>
      <c r="E1" s="405"/>
      <c r="F1" s="405"/>
    </row>
    <row r="2" spans="1:8" x14ac:dyDescent="0.2">
      <c r="A2" s="277"/>
      <c r="B2" s="278" t="s">
        <v>36</v>
      </c>
      <c r="C2" s="278" t="s">
        <v>38</v>
      </c>
      <c r="D2" s="278" t="s">
        <v>39</v>
      </c>
      <c r="E2" s="278" t="s">
        <v>40</v>
      </c>
      <c r="F2" s="278" t="s">
        <v>41</v>
      </c>
    </row>
    <row r="3" spans="1:8" x14ac:dyDescent="0.2">
      <c r="A3" s="218" t="s">
        <v>135</v>
      </c>
      <c r="B3" s="219"/>
      <c r="C3" s="219"/>
      <c r="D3" s="219"/>
      <c r="E3" s="219"/>
      <c r="F3" s="219"/>
      <c r="H3" s="220"/>
    </row>
    <row r="4" spans="1:8" x14ac:dyDescent="0.2">
      <c r="A4" s="221" t="s">
        <v>136</v>
      </c>
      <c r="B4" s="225">
        <f>Ingresos!C24</f>
        <v>1501780698.45</v>
      </c>
      <c r="C4" s="225">
        <f>Ingresos!D24</f>
        <v>1783570323.3650625</v>
      </c>
      <c r="D4" s="225">
        <f>Ingresos!E24</f>
        <v>2118234108.1303127</v>
      </c>
      <c r="E4" s="225">
        <f>Ingresos!F24</f>
        <v>2515693201.4775596</v>
      </c>
      <c r="F4" s="225">
        <f>Ingresos!G24</f>
        <v>2987730326.7232046</v>
      </c>
    </row>
    <row r="5" spans="1:8" x14ac:dyDescent="0.2">
      <c r="A5" s="218" t="s">
        <v>137</v>
      </c>
      <c r="B5" s="226"/>
      <c r="C5" s="226"/>
      <c r="D5" s="226"/>
      <c r="E5" s="226"/>
      <c r="F5" s="226"/>
    </row>
    <row r="6" spans="1:8" x14ac:dyDescent="0.2">
      <c r="A6" s="221" t="s">
        <v>205</v>
      </c>
      <c r="B6" s="276">
        <f>'Costos y Gastos'!B63</f>
        <v>1001187132.0333333</v>
      </c>
      <c r="C6" s="276">
        <f>'Costos y Gastos'!C63</f>
        <v>1189046881.9266717</v>
      </c>
      <c r="D6" s="276">
        <f>'Costos y Gastos'!D63</f>
        <v>1412156071.7107465</v>
      </c>
      <c r="E6" s="276">
        <f>'Costos y Gastos'!E63</f>
        <v>1677128800.5383356</v>
      </c>
      <c r="F6" s="276">
        <f>'Costos y Gastos'!F63</f>
        <v>1991820217.2849472</v>
      </c>
    </row>
    <row r="7" spans="1:8" x14ac:dyDescent="0.2">
      <c r="A7" s="221" t="s">
        <v>138</v>
      </c>
      <c r="B7" s="225">
        <f>'Costos y Gastos'!B66</f>
        <v>147000000</v>
      </c>
      <c r="C7" s="225">
        <f>'Costos y Gastos'!C66</f>
        <v>161802900</v>
      </c>
      <c r="D7" s="225">
        <f>'Costos y Gastos'!D66</f>
        <v>178096452.24000001</v>
      </c>
      <c r="E7" s="225">
        <f>'Costos y Gastos'!E66</f>
        <v>196030765.19999999</v>
      </c>
      <c r="F7" s="225">
        <f>'Costos y Gastos'!F66</f>
        <v>215771063.16</v>
      </c>
    </row>
    <row r="8" spans="1:8" x14ac:dyDescent="0.2">
      <c r="A8" s="221" t="s">
        <v>139</v>
      </c>
      <c r="B8" s="225">
        <f>'Costos y Gastos'!B67</f>
        <v>43680000</v>
      </c>
      <c r="C8" s="225">
        <f>'Costos y Gastos'!C67</f>
        <v>47903856</v>
      </c>
      <c r="D8" s="225">
        <f>'Costos y Gastos'!D67</f>
        <v>52536158.875200003</v>
      </c>
      <c r="E8" s="225">
        <f>'Costos y Gastos'!E67</f>
        <v>57616405.438431844</v>
      </c>
      <c r="F8" s="225">
        <f>'Costos y Gastos'!F67</f>
        <v>63187911.844328202</v>
      </c>
    </row>
    <row r="9" spans="1:8" x14ac:dyDescent="0.2">
      <c r="A9" s="221" t="s">
        <v>153</v>
      </c>
      <c r="B9" s="225">
        <f>'Costos y Gastos'!B68</f>
        <v>72242400</v>
      </c>
      <c r="C9" s="225">
        <f>'Costos y Gastos'!C68</f>
        <v>79228240.079999998</v>
      </c>
      <c r="D9" s="225">
        <f>'Costos y Gastos'!D68</f>
        <v>86889610.895736009</v>
      </c>
      <c r="E9" s="225">
        <f>'Costos y Gastos'!E68</f>
        <v>95291836.269353688</v>
      </c>
      <c r="F9" s="225">
        <f>'Costos y Gastos'!F68</f>
        <v>104506556.83660018</v>
      </c>
    </row>
    <row r="10" spans="1:8" x14ac:dyDescent="0.2">
      <c r="A10" s="221" t="s">
        <v>140</v>
      </c>
      <c r="B10" s="225">
        <f>'Costos y Gastos'!B69</f>
        <v>7945440</v>
      </c>
      <c r="C10" s="225">
        <f>'Costos y Gastos'!C69</f>
        <v>8713764.0480000004</v>
      </c>
      <c r="D10" s="225">
        <f>'Costos y Gastos'!D69</f>
        <v>9556385.0314415991</v>
      </c>
      <c r="E10" s="225">
        <f>'Costos y Gastos'!E69</f>
        <v>10480487.463982003</v>
      </c>
      <c r="F10" s="225">
        <f>'Costos y Gastos'!F69</f>
        <v>11493950.601749063</v>
      </c>
    </row>
    <row r="11" spans="1:8" x14ac:dyDescent="0.2">
      <c r="A11" s="221" t="s">
        <v>204</v>
      </c>
      <c r="B11" s="225">
        <f>'Costos y Gastos'!B70</f>
        <v>13308348</v>
      </c>
      <c r="C11" s="225">
        <f>'Costos y Gastos'!C70</f>
        <v>14595265.251599999</v>
      </c>
      <c r="D11" s="225">
        <f>'Costos y Gastos'!D70</f>
        <v>16006627.401429718</v>
      </c>
      <c r="E11" s="225">
        <f>'Costos y Gastos'!E70</f>
        <v>17554468.271147974</v>
      </c>
      <c r="F11" s="225">
        <f>'Costos y Gastos'!F70</f>
        <v>19251985.352967985</v>
      </c>
    </row>
    <row r="12" spans="1:8" x14ac:dyDescent="0.2">
      <c r="A12" s="221" t="s">
        <v>203</v>
      </c>
      <c r="B12" s="225">
        <f>'Costos y Gastos'!B71</f>
        <v>4131600</v>
      </c>
      <c r="C12" s="225">
        <f>'Costos y Gastos'!C71</f>
        <v>4531125.7200000007</v>
      </c>
      <c r="D12" s="225">
        <f>'Costos y Gastos'!D71</f>
        <v>4969285.5771240005</v>
      </c>
      <c r="E12" s="225">
        <f>'Costos y Gastos'!E71</f>
        <v>5449815.4924318912</v>
      </c>
      <c r="F12" s="225">
        <f>'Costos y Gastos'!F71</f>
        <v>5976812.6505500544</v>
      </c>
    </row>
    <row r="13" spans="1:8" x14ac:dyDescent="0.2">
      <c r="A13" s="221" t="s">
        <v>141</v>
      </c>
      <c r="B13" s="225">
        <f>'Costos y Gastos'!B72</f>
        <v>17828760</v>
      </c>
      <c r="C13" s="225">
        <f>'Costos y Gastos'!C72</f>
        <v>20126887.163999997</v>
      </c>
      <c r="D13" s="225">
        <f>'Costos y Gastos'!D72</f>
        <v>22721242.919439599</v>
      </c>
      <c r="E13" s="225">
        <f>'Costos y Gastos'!E72</f>
        <v>25650011.131755363</v>
      </c>
      <c r="F13" s="225">
        <f>'Costos y Gastos'!F72</f>
        <v>28956297.56663863</v>
      </c>
    </row>
    <row r="14" spans="1:8" x14ac:dyDescent="0.2">
      <c r="A14" s="221" t="s">
        <v>143</v>
      </c>
      <c r="B14" s="225">
        <f>SUM(B6:B13)</f>
        <v>1307323680.0333333</v>
      </c>
      <c r="C14" s="225">
        <f t="shared" ref="C14:F14" si="0">SUM(C6:C13)</f>
        <v>1525948920.1902719</v>
      </c>
      <c r="D14" s="225">
        <f t="shared" si="0"/>
        <v>1782931834.6511176</v>
      </c>
      <c r="E14" s="225">
        <f t="shared" si="0"/>
        <v>2085202589.8054383</v>
      </c>
      <c r="F14" s="225">
        <f t="shared" si="0"/>
        <v>2440964795.2977815</v>
      </c>
    </row>
    <row r="15" spans="1:8" x14ac:dyDescent="0.2">
      <c r="A15" s="222" t="s">
        <v>144</v>
      </c>
      <c r="B15" s="227">
        <f>B4-B14</f>
        <v>194457018.41666675</v>
      </c>
      <c r="C15" s="227">
        <f>C4-C14</f>
        <v>257621403.17479062</v>
      </c>
      <c r="D15" s="227">
        <f>D4-D14</f>
        <v>335302273.47919512</v>
      </c>
      <c r="E15" s="227">
        <f>E4-E14</f>
        <v>430490611.67212129</v>
      </c>
      <c r="F15" s="227">
        <f>F4-F14</f>
        <v>546765531.42542315</v>
      </c>
    </row>
    <row r="16" spans="1:8" x14ac:dyDescent="0.2">
      <c r="A16" s="221" t="s">
        <v>145</v>
      </c>
      <c r="B16" s="225">
        <v>0</v>
      </c>
      <c r="C16" s="225">
        <v>0</v>
      </c>
      <c r="D16" s="225">
        <v>0</v>
      </c>
      <c r="E16" s="225">
        <v>0</v>
      </c>
      <c r="F16" s="225">
        <v>0</v>
      </c>
    </row>
    <row r="17" spans="1:8" x14ac:dyDescent="0.2">
      <c r="A17" s="221" t="s">
        <v>146</v>
      </c>
      <c r="B17" s="225">
        <f>Financiamiento!$C18</f>
        <v>38307575.976799995</v>
      </c>
      <c r="C17" s="225">
        <f>Financiamiento!$C19</f>
        <v>36279745.886999771</v>
      </c>
      <c r="D17" s="225">
        <f>Financiamiento!$C20</f>
        <v>33977753.169058561</v>
      </c>
      <c r="E17" s="225">
        <f>Financiamiento!$C21</f>
        <v>31364531.035651699</v>
      </c>
      <c r="F17" s="225">
        <f>Financiamiento!$C22</f>
        <v>28398001.269808229</v>
      </c>
    </row>
    <row r="18" spans="1:8" x14ac:dyDescent="0.2">
      <c r="A18" s="222" t="s">
        <v>147</v>
      </c>
      <c r="B18" s="227">
        <f>B16-B17</f>
        <v>-38307575.976799995</v>
      </c>
      <c r="C18" s="227">
        <f t="shared" ref="C18:F18" si="1">C16-C17</f>
        <v>-36279745.886999771</v>
      </c>
      <c r="D18" s="227">
        <f t="shared" si="1"/>
        <v>-33977753.169058561</v>
      </c>
      <c r="E18" s="227">
        <f t="shared" si="1"/>
        <v>-31364531.035651699</v>
      </c>
      <c r="F18" s="227">
        <f t="shared" si="1"/>
        <v>-28398001.269808229</v>
      </c>
    </row>
    <row r="19" spans="1:8" x14ac:dyDescent="0.2">
      <c r="A19" s="221" t="s">
        <v>142</v>
      </c>
      <c r="B19" s="225">
        <f>'Costos y Gastos'!B73</f>
        <v>40934929.733333334</v>
      </c>
      <c r="C19" s="225">
        <f>'Costos y Gastos'!C73</f>
        <v>40934929.733333334</v>
      </c>
      <c r="D19" s="225">
        <f>'Costos y Gastos'!D73</f>
        <v>40934929.733333334</v>
      </c>
      <c r="E19" s="225">
        <f>'Costos y Gastos'!E73</f>
        <v>40934929.733333334</v>
      </c>
      <c r="F19" s="225">
        <f>'Costos y Gastos'!F73</f>
        <v>40934929.733333334</v>
      </c>
    </row>
    <row r="20" spans="1:8" x14ac:dyDescent="0.2">
      <c r="A20" s="221" t="s">
        <v>126</v>
      </c>
      <c r="B20" s="225">
        <f>'Costos y Gastos'!B74</f>
        <v>83940</v>
      </c>
      <c r="C20" s="225">
        <f>'Costos y Gastos'!C74</f>
        <v>83940</v>
      </c>
      <c r="D20" s="225">
        <f>'Costos y Gastos'!D74</f>
        <v>83940</v>
      </c>
      <c r="E20" s="225">
        <f>'Costos y Gastos'!E74</f>
        <v>83940</v>
      </c>
      <c r="F20" s="225">
        <f>'Costos y Gastos'!F74</f>
        <v>83940</v>
      </c>
    </row>
    <row r="21" spans="1:8" x14ac:dyDescent="0.2">
      <c r="A21" s="221" t="s">
        <v>152</v>
      </c>
      <c r="B21" s="225">
        <f>B15*$G$21</f>
        <v>29168552.76250001</v>
      </c>
      <c r="C21" s="225">
        <f t="shared" ref="C21:F21" si="2">C15*$G$21</f>
        <v>38643210.476218589</v>
      </c>
      <c r="D21" s="225">
        <f t="shared" si="2"/>
        <v>50295341.021879263</v>
      </c>
      <c r="E21" s="225">
        <f t="shared" si="2"/>
        <v>64573591.750818193</v>
      </c>
      <c r="F21" s="225">
        <f t="shared" si="2"/>
        <v>82014829.713813469</v>
      </c>
      <c r="G21" s="224">
        <v>0.15</v>
      </c>
    </row>
    <row r="22" spans="1:8" x14ac:dyDescent="0.2">
      <c r="A22" s="222" t="s">
        <v>148</v>
      </c>
      <c r="B22" s="227">
        <f>(B15+B18)-(B19+B20+B21)</f>
        <v>85962019.944033414</v>
      </c>
      <c r="C22" s="227">
        <f t="shared" ref="C22:F22" si="3">(C15+C18)-(C19+C20+C21)</f>
        <v>141679577.0782389</v>
      </c>
      <c r="D22" s="227">
        <f t="shared" si="3"/>
        <v>210010309.55492395</v>
      </c>
      <c r="E22" s="227">
        <f t="shared" si="3"/>
        <v>293533619.15231806</v>
      </c>
      <c r="F22" s="227">
        <f t="shared" si="3"/>
        <v>395333830.70846808</v>
      </c>
    </row>
    <row r="23" spans="1:8" x14ac:dyDescent="0.2">
      <c r="A23" s="221" t="s">
        <v>149</v>
      </c>
      <c r="B23" s="225">
        <f>IF(B22&lt;0,0,B22*$G$45)</f>
        <v>21490504.986008354</v>
      </c>
      <c r="C23" s="225">
        <f t="shared" ref="C23:F23" si="4">IF(C22&lt;0,0,C22*$G$45)</f>
        <v>35419894.269559726</v>
      </c>
      <c r="D23" s="225">
        <f t="shared" si="4"/>
        <v>52502577.388730988</v>
      </c>
      <c r="E23" s="225">
        <f t="shared" si="4"/>
        <v>73383404.788079515</v>
      </c>
      <c r="F23" s="225">
        <f t="shared" si="4"/>
        <v>98833457.67711702</v>
      </c>
      <c r="G23" s="223">
        <v>0.25</v>
      </c>
    </row>
    <row r="24" spans="1:8" x14ac:dyDescent="0.2">
      <c r="A24" s="222" t="s">
        <v>150</v>
      </c>
      <c r="B24" s="227">
        <f>B22-B23</f>
        <v>64471514.958025061</v>
      </c>
      <c r="C24" s="227">
        <f t="shared" ref="C24:F24" si="5">C22-C23</f>
        <v>106259682.80867918</v>
      </c>
      <c r="D24" s="227">
        <f t="shared" si="5"/>
        <v>157507732.16619295</v>
      </c>
      <c r="E24" s="227">
        <f t="shared" si="5"/>
        <v>220150214.36423856</v>
      </c>
      <c r="F24" s="227">
        <f t="shared" si="5"/>
        <v>296500373.03135109</v>
      </c>
    </row>
    <row r="26" spans="1:8" x14ac:dyDescent="0.2">
      <c r="A26" s="406" t="s">
        <v>183</v>
      </c>
      <c r="B26" s="406"/>
      <c r="C26" s="406"/>
      <c r="D26" s="406"/>
      <c r="E26" s="406"/>
      <c r="F26" s="406"/>
    </row>
    <row r="27" spans="1:8" x14ac:dyDescent="0.2">
      <c r="A27" s="279"/>
      <c r="B27" s="280" t="s">
        <v>36</v>
      </c>
      <c r="C27" s="280" t="s">
        <v>38</v>
      </c>
      <c r="D27" s="280" t="s">
        <v>39</v>
      </c>
      <c r="E27" s="280" t="s">
        <v>40</v>
      </c>
      <c r="F27" s="280" t="s">
        <v>41</v>
      </c>
    </row>
    <row r="28" spans="1:8" x14ac:dyDescent="0.2">
      <c r="A28" s="218" t="s">
        <v>135</v>
      </c>
      <c r="B28" s="219"/>
      <c r="C28" s="219"/>
      <c r="D28" s="219"/>
      <c r="E28" s="219"/>
      <c r="F28" s="219"/>
      <c r="H28" s="220"/>
    </row>
    <row r="29" spans="1:8" x14ac:dyDescent="0.2">
      <c r="A29" s="221" t="s">
        <v>136</v>
      </c>
      <c r="B29" s="225">
        <f>Ingresos!C30</f>
        <v>1501780698.45</v>
      </c>
      <c r="C29" s="225">
        <f>Ingresos!D30</f>
        <v>1816427783.2664502</v>
      </c>
      <c r="D29" s="225">
        <f>Ingresos!E30</f>
        <v>2196998466.7053037</v>
      </c>
      <c r="E29" s="225">
        <f>Ingresos!F30</f>
        <v>2657304797.4555321</v>
      </c>
      <c r="F29" s="225">
        <f>Ingresos!G30</f>
        <v>3214052669.3992248</v>
      </c>
    </row>
    <row r="30" spans="1:8" x14ac:dyDescent="0.2">
      <c r="A30" s="218" t="s">
        <v>137</v>
      </c>
      <c r="B30" s="226"/>
      <c r="C30" s="226"/>
      <c r="D30" s="226"/>
      <c r="E30" s="226"/>
      <c r="F30" s="226"/>
    </row>
    <row r="31" spans="1:8" x14ac:dyDescent="0.2">
      <c r="A31" s="221" t="s">
        <v>205</v>
      </c>
      <c r="B31" s="276">
        <f>'Costos y Gastos'!G63</f>
        <v>1001187132.0333333</v>
      </c>
      <c r="C31" s="276">
        <f>'Costos y Gastos'!H63</f>
        <v>1210951855.1884291</v>
      </c>
      <c r="D31" s="276">
        <f>'Costos y Gastos'!I63</f>
        <v>1464665644.0800879</v>
      </c>
      <c r="E31" s="276">
        <f>'Costos y Gastos'!J63</f>
        <v>1771536531.1651716</v>
      </c>
      <c r="F31" s="276">
        <f>'Costos y Gastos'!K63</f>
        <v>2142701779.0287733</v>
      </c>
    </row>
    <row r="32" spans="1:8" x14ac:dyDescent="0.2">
      <c r="A32" s="221" t="s">
        <v>138</v>
      </c>
      <c r="B32" s="225">
        <f>'Costos y Gastos'!G66</f>
        <v>147000000</v>
      </c>
      <c r="C32" s="225">
        <f>'Costos y Gastos'!H66</f>
        <v>161802900</v>
      </c>
      <c r="D32" s="225">
        <f>'Costos y Gastos'!I66</f>
        <v>178096452.24000001</v>
      </c>
      <c r="E32" s="225">
        <f>'Costos y Gastos'!J66</f>
        <v>196030765.19999999</v>
      </c>
      <c r="F32" s="225">
        <f>'Costos y Gastos'!K66</f>
        <v>215771063.16</v>
      </c>
    </row>
    <row r="33" spans="1:7" x14ac:dyDescent="0.2">
      <c r="A33" s="221" t="s">
        <v>139</v>
      </c>
      <c r="B33" s="225">
        <f>'Costos y Gastos'!G67</f>
        <v>43680000</v>
      </c>
      <c r="C33" s="225">
        <f>'Costos y Gastos'!H67</f>
        <v>46650240</v>
      </c>
      <c r="D33" s="225">
        <f>'Costos y Gastos'!I67</f>
        <v>49822456.32</v>
      </c>
      <c r="E33" s="225">
        <f>'Costos y Gastos'!J67</f>
        <v>53210383.349760003</v>
      </c>
      <c r="F33" s="225">
        <f>'Costos y Gastos'!K67</f>
        <v>56828689.417543687</v>
      </c>
    </row>
    <row r="34" spans="1:7" x14ac:dyDescent="0.2">
      <c r="A34" s="221" t="s">
        <v>153</v>
      </c>
      <c r="B34" s="225">
        <f>'Costos y Gastos'!G68</f>
        <v>72242400</v>
      </c>
      <c r="C34" s="225">
        <f>'Costos y Gastos'!H68</f>
        <v>77154883.200000003</v>
      </c>
      <c r="D34" s="225">
        <f>'Costos y Gastos'!I68</f>
        <v>82401415.257600009</v>
      </c>
      <c r="E34" s="225">
        <f>'Costos y Gastos'!J68</f>
        <v>88004711.495116815</v>
      </c>
      <c r="F34" s="225">
        <f>'Costos y Gastos'!K68</f>
        <v>93989031.876784757</v>
      </c>
    </row>
    <row r="35" spans="1:7" x14ac:dyDescent="0.2">
      <c r="A35" s="221" t="s">
        <v>140</v>
      </c>
      <c r="B35" s="225">
        <f>'Costos y Gastos'!G69</f>
        <v>7945440</v>
      </c>
      <c r="C35" s="225">
        <f>'Costos y Gastos'!H69</f>
        <v>8485729.9199999999</v>
      </c>
      <c r="D35" s="225">
        <f>'Costos y Gastos'!I69</f>
        <v>9062759.5545600001</v>
      </c>
      <c r="E35" s="225">
        <f>'Costos y Gastos'!J69</f>
        <v>9679027.2042700797</v>
      </c>
      <c r="F35" s="225">
        <f>'Costos y Gastos'!K69</f>
        <v>10337201.054160446</v>
      </c>
    </row>
    <row r="36" spans="1:7" x14ac:dyDescent="0.2">
      <c r="A36" s="221" t="s">
        <v>204</v>
      </c>
      <c r="B36" s="225">
        <f>'Costos y Gastos'!G70</f>
        <v>13308348</v>
      </c>
      <c r="C36" s="225">
        <f>'Costos y Gastos'!H70</f>
        <v>14213315.664000001</v>
      </c>
      <c r="D36" s="225">
        <f>'Costos y Gastos'!I70</f>
        <v>15179821.129152002</v>
      </c>
      <c r="E36" s="225">
        <f>'Costos y Gastos'!J70</f>
        <v>16212048.965934338</v>
      </c>
      <c r="F36" s="225">
        <f>'Costos y Gastos'!K70</f>
        <v>17314468.295617875</v>
      </c>
    </row>
    <row r="37" spans="1:7" x14ac:dyDescent="0.2">
      <c r="A37" s="221" t="s">
        <v>203</v>
      </c>
      <c r="B37" s="225">
        <f>'Costos y Gastos'!G71</f>
        <v>4131600</v>
      </c>
      <c r="C37" s="225">
        <f>'Costos y Gastos'!H71</f>
        <v>4412548.8</v>
      </c>
      <c r="D37" s="225">
        <f>'Costos y Gastos'!I71</f>
        <v>4712602.1184</v>
      </c>
      <c r="E37" s="225">
        <f>'Costos y Gastos'!J71</f>
        <v>5033059.0624512006</v>
      </c>
      <c r="F37" s="225">
        <f>'Costos y Gastos'!K71</f>
        <v>5375307.0786978826</v>
      </c>
    </row>
    <row r="38" spans="1:7" x14ac:dyDescent="0.2">
      <c r="A38" s="221" t="s">
        <v>141</v>
      </c>
      <c r="B38" s="225">
        <f>'Costos y Gastos'!G72</f>
        <v>17828760</v>
      </c>
      <c r="C38" s="225">
        <f>'Costos y Gastos'!H72</f>
        <v>19041115.68</v>
      </c>
      <c r="D38" s="225">
        <f>'Costos y Gastos'!I72</f>
        <v>20335911.546240002</v>
      </c>
      <c r="E38" s="225">
        <f>'Costos y Gastos'!J72</f>
        <v>21718753.531384323</v>
      </c>
      <c r="F38" s="225">
        <f>'Costos y Gastos'!K72</f>
        <v>23195628.771518458</v>
      </c>
    </row>
    <row r="39" spans="1:7" x14ac:dyDescent="0.2">
      <c r="A39" s="221" t="s">
        <v>143</v>
      </c>
      <c r="B39" s="225">
        <f>SUM(B31:B38)</f>
        <v>1307323680.0333333</v>
      </c>
      <c r="C39" s="225">
        <f t="shared" ref="C39" si="6">SUM(C31:C38)</f>
        <v>1542712588.4524293</v>
      </c>
      <c r="D39" s="225">
        <f t="shared" ref="D39" si="7">SUM(D31:D38)</f>
        <v>1824277062.2460401</v>
      </c>
      <c r="E39" s="225">
        <f t="shared" ref="E39" si="8">SUM(E31:E38)</f>
        <v>2161425279.9740882</v>
      </c>
      <c r="F39" s="225">
        <f t="shared" ref="F39" si="9">SUM(F31:F38)</f>
        <v>2565513168.6830964</v>
      </c>
    </row>
    <row r="40" spans="1:7" x14ac:dyDescent="0.2">
      <c r="A40" s="222" t="s">
        <v>144</v>
      </c>
      <c r="B40" s="227">
        <f>B29-B39</f>
        <v>194457018.41666675</v>
      </c>
      <c r="C40" s="227">
        <f>C29-C39</f>
        <v>273715194.81402087</v>
      </c>
      <c r="D40" s="227">
        <f>D29-D39</f>
        <v>372721404.45926356</v>
      </c>
      <c r="E40" s="227">
        <f>E29-E39</f>
        <v>495879517.48144388</v>
      </c>
      <c r="F40" s="227">
        <f>F29-F39</f>
        <v>648539500.71612835</v>
      </c>
    </row>
    <row r="41" spans="1:7" x14ac:dyDescent="0.2">
      <c r="A41" s="221" t="s">
        <v>145</v>
      </c>
      <c r="B41" s="225">
        <v>0</v>
      </c>
      <c r="C41" s="225">
        <v>0</v>
      </c>
      <c r="D41" s="225">
        <v>0</v>
      </c>
      <c r="E41" s="225">
        <v>0</v>
      </c>
      <c r="F41" s="225">
        <v>0</v>
      </c>
    </row>
    <row r="42" spans="1:7" x14ac:dyDescent="0.2">
      <c r="A42" s="221" t="s">
        <v>146</v>
      </c>
      <c r="B42" s="225">
        <f>B17</f>
        <v>38307575.976799995</v>
      </c>
      <c r="C42" s="225">
        <f t="shared" ref="C42:F42" si="10">C17</f>
        <v>36279745.886999771</v>
      </c>
      <c r="D42" s="225">
        <f t="shared" si="10"/>
        <v>33977753.169058561</v>
      </c>
      <c r="E42" s="225">
        <f t="shared" si="10"/>
        <v>31364531.035651699</v>
      </c>
      <c r="F42" s="225">
        <f t="shared" si="10"/>
        <v>28398001.269808229</v>
      </c>
    </row>
    <row r="43" spans="1:7" x14ac:dyDescent="0.2">
      <c r="A43" s="222" t="s">
        <v>147</v>
      </c>
      <c r="B43" s="227">
        <f>B41-B42</f>
        <v>-38307575.976799995</v>
      </c>
      <c r="C43" s="227">
        <f t="shared" ref="C43:F43" si="11">C41-C42</f>
        <v>-36279745.886999771</v>
      </c>
      <c r="D43" s="227">
        <f t="shared" si="11"/>
        <v>-33977753.169058561</v>
      </c>
      <c r="E43" s="227">
        <f t="shared" si="11"/>
        <v>-31364531.035651699</v>
      </c>
      <c r="F43" s="227">
        <f t="shared" si="11"/>
        <v>-28398001.269808229</v>
      </c>
    </row>
    <row r="44" spans="1:7" x14ac:dyDescent="0.2">
      <c r="A44" s="221" t="s">
        <v>142</v>
      </c>
      <c r="B44" s="225">
        <f>'Costos y Gastos'!G73</f>
        <v>40934929.733333334</v>
      </c>
      <c r="C44" s="225">
        <f>'Costos y Gastos'!H73</f>
        <v>40934929.733333334</v>
      </c>
      <c r="D44" s="225">
        <f>'Costos y Gastos'!I73</f>
        <v>40934929.733333334</v>
      </c>
      <c r="E44" s="225">
        <f>'Costos y Gastos'!J73</f>
        <v>40934929.733333334</v>
      </c>
      <c r="F44" s="225">
        <f>'Costos y Gastos'!K73</f>
        <v>40934929.733333334</v>
      </c>
    </row>
    <row r="45" spans="1:7" x14ac:dyDescent="0.2">
      <c r="A45" s="221" t="s">
        <v>126</v>
      </c>
      <c r="B45" s="225">
        <f>'Costos y Gastos'!G74</f>
        <v>83940</v>
      </c>
      <c r="C45" s="225">
        <f>'Costos y Gastos'!H74</f>
        <v>83940</v>
      </c>
      <c r="D45" s="225">
        <f>'Costos y Gastos'!I74</f>
        <v>83940</v>
      </c>
      <c r="E45" s="225">
        <f>'Costos y Gastos'!J74</f>
        <v>83940</v>
      </c>
      <c r="F45" s="225">
        <f>'Costos y Gastos'!K74</f>
        <v>83940</v>
      </c>
      <c r="G45" s="223">
        <v>0.25</v>
      </c>
    </row>
    <row r="46" spans="1:7" x14ac:dyDescent="0.2">
      <c r="A46" s="221" t="s">
        <v>152</v>
      </c>
      <c r="B46" s="225">
        <f>B40*$G$21</f>
        <v>29168552.76250001</v>
      </c>
      <c r="C46" s="225">
        <f t="shared" ref="C46:F46" si="12">C40*$G$21</f>
        <v>41057279.222103126</v>
      </c>
      <c r="D46" s="225">
        <f t="shared" si="12"/>
        <v>55908210.66888953</v>
      </c>
      <c r="E46" s="225">
        <f t="shared" si="12"/>
        <v>74381927.622216582</v>
      </c>
      <c r="F46" s="225">
        <f t="shared" si="12"/>
        <v>97280925.107419252</v>
      </c>
    </row>
    <row r="47" spans="1:7" x14ac:dyDescent="0.2">
      <c r="A47" s="222" t="s">
        <v>148</v>
      </c>
      <c r="B47" s="227">
        <f>(B40+B43)-(B44+B45+B46)</f>
        <v>85962019.944033414</v>
      </c>
      <c r="C47" s="227">
        <f t="shared" ref="C47:F47" si="13">(C40+C43)-(C44+C45+C46)</f>
        <v>155359299.97158462</v>
      </c>
      <c r="D47" s="227">
        <f t="shared" si="13"/>
        <v>241816570.88798213</v>
      </c>
      <c r="E47" s="227">
        <f t="shared" si="13"/>
        <v>349114189.09024227</v>
      </c>
      <c r="F47" s="227">
        <f t="shared" si="13"/>
        <v>481841704.60556757</v>
      </c>
    </row>
    <row r="48" spans="1:7" x14ac:dyDescent="0.2">
      <c r="A48" s="221" t="s">
        <v>149</v>
      </c>
      <c r="B48" s="225">
        <f>IF(B47&lt;0,0,B47*$G$45)</f>
        <v>21490504.986008354</v>
      </c>
      <c r="C48" s="225">
        <f t="shared" ref="C48:F48" si="14">IF(C47&lt;0,0,C47*$G$45)</f>
        <v>38839824.992896155</v>
      </c>
      <c r="D48" s="225">
        <f t="shared" si="14"/>
        <v>60454142.721995533</v>
      </c>
      <c r="E48" s="225">
        <f t="shared" si="14"/>
        <v>87278547.272560567</v>
      </c>
      <c r="F48" s="225">
        <f t="shared" si="14"/>
        <v>120460426.15139189</v>
      </c>
    </row>
    <row r="49" spans="1:8" x14ac:dyDescent="0.2">
      <c r="A49" s="222" t="s">
        <v>150</v>
      </c>
      <c r="B49" s="227">
        <f>B47-B48</f>
        <v>64471514.958025061</v>
      </c>
      <c r="C49" s="227">
        <f t="shared" ref="C49:F49" si="15">C47-C48</f>
        <v>116519474.97868846</v>
      </c>
      <c r="D49" s="227">
        <f t="shared" si="15"/>
        <v>181362428.1659866</v>
      </c>
      <c r="E49" s="227">
        <f t="shared" si="15"/>
        <v>261835641.8176817</v>
      </c>
      <c r="F49" s="227">
        <f t="shared" si="15"/>
        <v>361381278.45417571</v>
      </c>
    </row>
    <row r="50" spans="1:8" x14ac:dyDescent="0.2">
      <c r="A50" s="281"/>
      <c r="B50" s="282"/>
      <c r="C50" s="282"/>
      <c r="D50" s="282"/>
      <c r="E50" s="282"/>
      <c r="F50" s="282"/>
    </row>
    <row r="52" spans="1:8" x14ac:dyDescent="0.2">
      <c r="A52" s="407" t="s">
        <v>151</v>
      </c>
      <c r="B52" s="407"/>
      <c r="C52" s="407"/>
      <c r="D52" s="407"/>
      <c r="E52" s="407"/>
      <c r="F52" s="407"/>
    </row>
    <row r="53" spans="1:8" x14ac:dyDescent="0.2">
      <c r="A53" s="283"/>
      <c r="B53" s="284" t="s">
        <v>36</v>
      </c>
      <c r="C53" s="284" t="s">
        <v>38</v>
      </c>
      <c r="D53" s="284" t="s">
        <v>39</v>
      </c>
      <c r="E53" s="284" t="s">
        <v>40</v>
      </c>
      <c r="F53" s="284" t="s">
        <v>41</v>
      </c>
    </row>
    <row r="54" spans="1:8" x14ac:dyDescent="0.2">
      <c r="A54" s="218" t="s">
        <v>135</v>
      </c>
      <c r="B54" s="219"/>
      <c r="C54" s="219"/>
      <c r="D54" s="219"/>
      <c r="E54" s="219"/>
      <c r="F54" s="219"/>
      <c r="H54" s="220"/>
    </row>
    <row r="55" spans="1:8" x14ac:dyDescent="0.2">
      <c r="A55" s="221" t="s">
        <v>136</v>
      </c>
      <c r="B55" s="225">
        <f>Ingresos!C36</f>
        <v>1501780698.45</v>
      </c>
      <c r="C55" s="225">
        <f>Ingresos!D36</f>
        <v>1715327906.646796</v>
      </c>
      <c r="D55" s="225">
        <f>Ingresos!E36</f>
        <v>1959240673.6603436</v>
      </c>
      <c r="E55" s="225">
        <f>Ingresos!F36</f>
        <v>2237836860.4921498</v>
      </c>
      <c r="F55" s="225">
        <f>Ingresos!G36</f>
        <v>2556048310.7066917</v>
      </c>
    </row>
    <row r="56" spans="1:8" x14ac:dyDescent="0.2">
      <c r="A56" s="218" t="s">
        <v>137</v>
      </c>
      <c r="B56" s="226"/>
      <c r="C56" s="226"/>
      <c r="D56" s="226"/>
      <c r="E56" s="226"/>
      <c r="F56" s="226"/>
    </row>
    <row r="57" spans="1:8" x14ac:dyDescent="0.2">
      <c r="A57" s="221" t="s">
        <v>205</v>
      </c>
      <c r="B57" s="276">
        <f>'Costos y Gastos'!L63</f>
        <v>1001187132.0333333</v>
      </c>
      <c r="C57" s="276">
        <f>'Costos y Gastos'!M63</f>
        <v>1143551937.459945</v>
      </c>
      <c r="D57" s="276">
        <f>'Costos y Gastos'!N63</f>
        <v>1306160448.7589993</v>
      </c>
      <c r="E57" s="276">
        <f>'Costos y Gastos'!O63</f>
        <v>1491891239.9307339</v>
      </c>
      <c r="F57" s="276">
        <f>'Costos y Gastos'!P63</f>
        <v>1704032206.6839244</v>
      </c>
    </row>
    <row r="58" spans="1:8" x14ac:dyDescent="0.2">
      <c r="A58" s="221" t="s">
        <v>138</v>
      </c>
      <c r="B58" s="225">
        <f>'Costos y Gastos'!L66</f>
        <v>147000000</v>
      </c>
      <c r="C58" s="225">
        <f>'Costos y Gastos'!M66</f>
        <v>161802900</v>
      </c>
      <c r="D58" s="225">
        <f>'Costos y Gastos'!N66</f>
        <v>178096452.24000001</v>
      </c>
      <c r="E58" s="225">
        <f>'Costos y Gastos'!O66</f>
        <v>196030765.19999999</v>
      </c>
      <c r="F58" s="225">
        <f>'Costos y Gastos'!P66</f>
        <v>215771063.16</v>
      </c>
    </row>
    <row r="59" spans="1:8" x14ac:dyDescent="0.2">
      <c r="A59" s="221" t="s">
        <v>139</v>
      </c>
      <c r="B59" s="225">
        <f>'Costos y Gastos'!L67</f>
        <v>43680000</v>
      </c>
      <c r="C59" s="225">
        <f>'Costos y Gastos'!M67</f>
        <v>51904943.999999993</v>
      </c>
      <c r="D59" s="225">
        <f>'Costos y Gastos'!N67</f>
        <v>61678644.955199987</v>
      </c>
      <c r="E59" s="225">
        <f>'Costos y Gastos'!O67</f>
        <v>73292733.800264135</v>
      </c>
      <c r="F59" s="225">
        <f>'Costos y Gastos'!P67</f>
        <v>87093755.574853867</v>
      </c>
    </row>
    <row r="60" spans="1:8" x14ac:dyDescent="0.2">
      <c r="A60" s="221" t="s">
        <v>153</v>
      </c>
      <c r="B60" s="225">
        <f>'Costos y Gastos'!L68</f>
        <v>72242400</v>
      </c>
      <c r="C60" s="225">
        <f>'Costos y Gastos'!M68</f>
        <v>85845643.919999987</v>
      </c>
      <c r="D60" s="225">
        <f>'Costos y Gastos'!N68</f>
        <v>102010378.67013597</v>
      </c>
      <c r="E60" s="225">
        <f>'Costos y Gastos'!O68</f>
        <v>121218932.97372258</v>
      </c>
      <c r="F60" s="225">
        <f>'Costos y Gastos'!P68</f>
        <v>144044458.05267453</v>
      </c>
    </row>
    <row r="61" spans="1:8" x14ac:dyDescent="0.2">
      <c r="A61" s="221" t="s">
        <v>140</v>
      </c>
      <c r="B61" s="225">
        <f>'Costos y Gastos'!L69</f>
        <v>7945440</v>
      </c>
      <c r="C61" s="225">
        <f>'Costos y Gastos'!M69</f>
        <v>9441566.352</v>
      </c>
      <c r="D61" s="225">
        <f>'Costos y Gastos'!N69</f>
        <v>11219413.296081599</v>
      </c>
      <c r="E61" s="225">
        <f>'Costos y Gastos'!O69</f>
        <v>13332028.819733763</v>
      </c>
      <c r="F61" s="225">
        <f>'Costos y Gastos'!P69</f>
        <v>15842449.846489629</v>
      </c>
    </row>
    <row r="62" spans="1:8" x14ac:dyDescent="0.2">
      <c r="A62" s="221" t="s">
        <v>204</v>
      </c>
      <c r="B62" s="225">
        <f>'Costos y Gastos'!L70</f>
        <v>13308348</v>
      </c>
      <c r="C62" s="225">
        <f>'Costos y Gastos'!M70</f>
        <v>15814309.928399999</v>
      </c>
      <c r="D62" s="225">
        <f>'Costos y Gastos'!N70</f>
        <v>18792144.487917718</v>
      </c>
      <c r="E62" s="225">
        <f>'Costos y Gastos'!O70</f>
        <v>22330705.294992622</v>
      </c>
      <c r="F62" s="225">
        <f>'Costos y Gastos'!P70</f>
        <v>26535577.102039732</v>
      </c>
    </row>
    <row r="63" spans="1:8" x14ac:dyDescent="0.2">
      <c r="A63" s="221" t="s">
        <v>203</v>
      </c>
      <c r="B63" s="225">
        <f>'Costos y Gastos'!L71</f>
        <v>4131600</v>
      </c>
      <c r="C63" s="225">
        <f>'Costos y Gastos'!M71</f>
        <v>4909580.2799999993</v>
      </c>
      <c r="D63" s="225">
        <f>'Costos y Gastos'!N71</f>
        <v>5834054.2467239983</v>
      </c>
      <c r="E63" s="225">
        <f>'Costos y Gastos'!O71</f>
        <v>6932606.6613821266</v>
      </c>
      <c r="F63" s="225">
        <f>'Costos y Gastos'!P71</f>
        <v>8238016.4957203809</v>
      </c>
    </row>
    <row r="64" spans="1:8" x14ac:dyDescent="0.2">
      <c r="A64" s="221" t="s">
        <v>141</v>
      </c>
      <c r="B64" s="225">
        <f>'Costos y Gastos'!L72</f>
        <v>17828760</v>
      </c>
      <c r="C64" s="225">
        <f>'Costos y Gastos'!M72</f>
        <v>21185915.507999998</v>
      </c>
      <c r="D64" s="225">
        <f>'Costos y Gastos'!N72</f>
        <v>25175223.398156397</v>
      </c>
      <c r="E64" s="225">
        <f>'Costos y Gastos'!O72</f>
        <v>29915717.964029245</v>
      </c>
      <c r="F64" s="225">
        <f>'Costos y Gastos'!P72</f>
        <v>35548847.656655952</v>
      </c>
    </row>
    <row r="65" spans="1:7" x14ac:dyDescent="0.2">
      <c r="A65" s="221" t="s">
        <v>143</v>
      </c>
      <c r="B65" s="225">
        <f>SUM(B57:B64)</f>
        <v>1307323680.0333333</v>
      </c>
      <c r="C65" s="225">
        <f t="shared" ref="C65" si="16">SUM(C57:C64)</f>
        <v>1494456797.4483449</v>
      </c>
      <c r="D65" s="225">
        <f t="shared" ref="D65" si="17">SUM(D57:D64)</f>
        <v>1708966760.0532148</v>
      </c>
      <c r="E65" s="225">
        <f t="shared" ref="E65" si="18">SUM(E57:E64)</f>
        <v>1954944730.6448588</v>
      </c>
      <c r="F65" s="225">
        <f t="shared" ref="F65" si="19">SUM(F57:F64)</f>
        <v>2237106374.5723581</v>
      </c>
    </row>
    <row r="66" spans="1:7" x14ac:dyDescent="0.2">
      <c r="A66" s="222" t="s">
        <v>144</v>
      </c>
      <c r="B66" s="227">
        <f>B55-B65</f>
        <v>194457018.41666675</v>
      </c>
      <c r="C66" s="227">
        <f>C55-C65</f>
        <v>220871109.19845104</v>
      </c>
      <c r="D66" s="227">
        <f>D55-D65</f>
        <v>250273913.60712886</v>
      </c>
      <c r="E66" s="227">
        <f>E55-E65</f>
        <v>282892129.84729099</v>
      </c>
      <c r="F66" s="227">
        <f>F55-F65</f>
        <v>318941936.13433361</v>
      </c>
    </row>
    <row r="67" spans="1:7" x14ac:dyDescent="0.2">
      <c r="A67" s="221" t="s">
        <v>145</v>
      </c>
      <c r="B67" s="225">
        <v>0</v>
      </c>
      <c r="C67" s="225">
        <v>0</v>
      </c>
      <c r="D67" s="225">
        <v>0</v>
      </c>
      <c r="E67" s="225">
        <v>0</v>
      </c>
      <c r="F67" s="225">
        <v>0</v>
      </c>
    </row>
    <row r="68" spans="1:7" x14ac:dyDescent="0.2">
      <c r="A68" s="221" t="s">
        <v>146</v>
      </c>
      <c r="B68" s="225">
        <f>B17</f>
        <v>38307575.976799995</v>
      </c>
      <c r="C68" s="225">
        <f t="shared" ref="C68:F68" si="20">C17</f>
        <v>36279745.886999771</v>
      </c>
      <c r="D68" s="225">
        <f t="shared" si="20"/>
        <v>33977753.169058561</v>
      </c>
      <c r="E68" s="225">
        <f t="shared" si="20"/>
        <v>31364531.035651699</v>
      </c>
      <c r="F68" s="225">
        <f t="shared" si="20"/>
        <v>28398001.269808229</v>
      </c>
    </row>
    <row r="69" spans="1:7" x14ac:dyDescent="0.2">
      <c r="A69" s="222" t="s">
        <v>147</v>
      </c>
      <c r="B69" s="227">
        <f>B67-B68</f>
        <v>-38307575.976799995</v>
      </c>
      <c r="C69" s="227">
        <f t="shared" ref="C69:F69" si="21">C67-C68</f>
        <v>-36279745.886999771</v>
      </c>
      <c r="D69" s="227">
        <f t="shared" si="21"/>
        <v>-33977753.169058561</v>
      </c>
      <c r="E69" s="227">
        <f t="shared" si="21"/>
        <v>-31364531.035651699</v>
      </c>
      <c r="F69" s="227">
        <f t="shared" si="21"/>
        <v>-28398001.269808229</v>
      </c>
    </row>
    <row r="70" spans="1:7" x14ac:dyDescent="0.2">
      <c r="A70" s="221" t="s">
        <v>142</v>
      </c>
      <c r="B70" s="225">
        <f>'Costos y Gastos'!L73</f>
        <v>40934929.733333334</v>
      </c>
      <c r="C70" s="225">
        <f>'Costos y Gastos'!M73</f>
        <v>40934929.733333334</v>
      </c>
      <c r="D70" s="225">
        <f>'Costos y Gastos'!N73</f>
        <v>40934929.733333334</v>
      </c>
      <c r="E70" s="225">
        <f>'Costos y Gastos'!O73</f>
        <v>40934929.733333334</v>
      </c>
      <c r="F70" s="225">
        <f>'Costos y Gastos'!P73</f>
        <v>40934929.733333334</v>
      </c>
    </row>
    <row r="71" spans="1:7" x14ac:dyDescent="0.2">
      <c r="A71" s="221" t="s">
        <v>126</v>
      </c>
      <c r="B71" s="225">
        <f>'Costos y Gastos'!L74</f>
        <v>83940</v>
      </c>
      <c r="C71" s="225">
        <f>'Costos y Gastos'!M74</f>
        <v>83940</v>
      </c>
      <c r="D71" s="225">
        <f>'Costos y Gastos'!N74</f>
        <v>83940</v>
      </c>
      <c r="E71" s="225">
        <f>'Costos y Gastos'!O74</f>
        <v>83940</v>
      </c>
      <c r="F71" s="225">
        <f>'Costos y Gastos'!P74</f>
        <v>83940</v>
      </c>
    </row>
    <row r="72" spans="1:7" x14ac:dyDescent="0.2">
      <c r="A72" s="221" t="s">
        <v>152</v>
      </c>
      <c r="B72" s="225">
        <f>B66*$G$21</f>
        <v>29168552.76250001</v>
      </c>
      <c r="C72" s="225">
        <f t="shared" ref="C72:F72" si="22">C66*$G$21</f>
        <v>33130666.379767656</v>
      </c>
      <c r="D72" s="225">
        <f t="shared" si="22"/>
        <v>37541087.041069329</v>
      </c>
      <c r="E72" s="225">
        <f t="shared" si="22"/>
        <v>42433819.477093644</v>
      </c>
      <c r="F72" s="225">
        <f t="shared" si="22"/>
        <v>47841290.420150042</v>
      </c>
    </row>
    <row r="73" spans="1:7" x14ac:dyDescent="0.2">
      <c r="A73" s="222" t="s">
        <v>148</v>
      </c>
      <c r="B73" s="227">
        <f>(B66+B69)-(B70+B71+B72)</f>
        <v>85962019.944033414</v>
      </c>
      <c r="C73" s="227">
        <f t="shared" ref="C73:F73" si="23">(C66+C69)-(C70+C71+C72)</f>
        <v>110441827.19835027</v>
      </c>
      <c r="D73" s="227">
        <f t="shared" si="23"/>
        <v>137736203.66366762</v>
      </c>
      <c r="E73" s="227">
        <f t="shared" si="23"/>
        <v>168074909.60121232</v>
      </c>
      <c r="F73" s="227">
        <f t="shared" si="23"/>
        <v>201683774.71104199</v>
      </c>
    </row>
    <row r="74" spans="1:7" x14ac:dyDescent="0.2">
      <c r="A74" s="221" t="s">
        <v>149</v>
      </c>
      <c r="B74" s="225">
        <f>IF(B73&lt;0,0,B73*$G$45)</f>
        <v>21490504.986008354</v>
      </c>
      <c r="C74" s="225">
        <f t="shared" ref="C74:F74" si="24">IF(C73&lt;0,0,C73*$G$45)</f>
        <v>27610456.799587566</v>
      </c>
      <c r="D74" s="225">
        <f t="shared" si="24"/>
        <v>34434050.915916905</v>
      </c>
      <c r="E74" s="225">
        <f t="shared" si="24"/>
        <v>42018727.400303081</v>
      </c>
      <c r="F74" s="225">
        <f t="shared" si="24"/>
        <v>50420943.677760497</v>
      </c>
    </row>
    <row r="75" spans="1:7" x14ac:dyDescent="0.2">
      <c r="A75" s="222" t="s">
        <v>150</v>
      </c>
      <c r="B75" s="227">
        <f>B73-B74</f>
        <v>64471514.958025061</v>
      </c>
      <c r="C75" s="227">
        <f t="shared" ref="C75:F75" si="25">C73-C74</f>
        <v>82831370.398762703</v>
      </c>
      <c r="D75" s="227">
        <f t="shared" si="25"/>
        <v>103302152.74775071</v>
      </c>
      <c r="E75" s="227">
        <f t="shared" si="25"/>
        <v>126056182.20090924</v>
      </c>
      <c r="F75" s="227">
        <f t="shared" si="25"/>
        <v>151262831.03328151</v>
      </c>
      <c r="G75" s="310">
        <f>+(F75*100)/B75</f>
        <v>234.61963183549037</v>
      </c>
    </row>
    <row r="77" spans="1:7" x14ac:dyDescent="0.2">
      <c r="B77" s="289"/>
    </row>
  </sheetData>
  <mergeCells count="3">
    <mergeCell ref="A1:F1"/>
    <mergeCell ref="A26:F26"/>
    <mergeCell ref="A52:F5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73"/>
  <sheetViews>
    <sheetView showGridLines="0" topLeftCell="A37" zoomScaleNormal="100" workbookViewId="0">
      <selection activeCell="B26" sqref="B26"/>
    </sheetView>
  </sheetViews>
  <sheetFormatPr baseColWidth="10" defaultColWidth="11.42578125" defaultRowHeight="15" x14ac:dyDescent="0.25"/>
  <cols>
    <col min="1" max="1" width="37.140625" style="32" bestFit="1" customWidth="1"/>
    <col min="2" max="2" width="25.5703125" style="32" customWidth="1"/>
    <col min="3" max="6" width="23" style="32" customWidth="1"/>
    <col min="7" max="7" width="11.140625" style="32" customWidth="1"/>
    <col min="8" max="8" width="17.140625" style="32" customWidth="1"/>
    <col min="9" max="16384" width="11.42578125" style="32"/>
  </cols>
  <sheetData>
    <row r="1" spans="1:6" x14ac:dyDescent="0.25">
      <c r="A1" s="418" t="s">
        <v>15</v>
      </c>
      <c r="B1" s="418"/>
      <c r="C1" s="418"/>
      <c r="D1" s="418"/>
      <c r="E1" s="418"/>
      <c r="F1" s="418"/>
    </row>
    <row r="2" spans="1:6" ht="14.45" customHeight="1" x14ac:dyDescent="0.25">
      <c r="A2" s="433"/>
      <c r="B2" s="433"/>
      <c r="C2" s="433"/>
      <c r="D2" s="433"/>
      <c r="E2" s="433"/>
      <c r="F2" s="434"/>
    </row>
    <row r="3" spans="1:6" x14ac:dyDescent="0.25">
      <c r="A3" s="102" t="s">
        <v>47</v>
      </c>
      <c r="B3" s="102" t="s">
        <v>36</v>
      </c>
      <c r="C3" s="102" t="s">
        <v>38</v>
      </c>
      <c r="D3" s="102" t="s">
        <v>39</v>
      </c>
      <c r="E3" s="102" t="s">
        <v>40</v>
      </c>
      <c r="F3" s="102" t="s">
        <v>41</v>
      </c>
    </row>
    <row r="4" spans="1:6" x14ac:dyDescent="0.25">
      <c r="A4" s="38" t="s">
        <v>161</v>
      </c>
      <c r="B4" s="230"/>
      <c r="C4" s="230"/>
      <c r="D4" s="230"/>
      <c r="E4" s="230"/>
      <c r="F4" s="230"/>
    </row>
    <row r="5" spans="1:6" x14ac:dyDescent="0.25">
      <c r="A5" s="38" t="s">
        <v>207</v>
      </c>
      <c r="B5" s="232">
        <f>'Balance PyG'!B4</f>
        <v>1501780698.45</v>
      </c>
      <c r="C5" s="232">
        <f>'Balance PyG'!C4</f>
        <v>1783570323.3650625</v>
      </c>
      <c r="D5" s="232">
        <f>'Balance PyG'!D4</f>
        <v>2118234108.1303127</v>
      </c>
      <c r="E5" s="232">
        <f>'Balance PyG'!E4</f>
        <v>2515693201.4775596</v>
      </c>
      <c r="F5" s="232">
        <f>'Balance PyG'!F4</f>
        <v>2987730326.7232046</v>
      </c>
    </row>
    <row r="6" spans="1:6" x14ac:dyDescent="0.25">
      <c r="A6" s="38" t="s">
        <v>208</v>
      </c>
      <c r="B6" s="232">
        <f>'Balance PyG'!B6</f>
        <v>1001187132.0333333</v>
      </c>
      <c r="C6" s="232">
        <f>'Balance PyG'!C6</f>
        <v>1189046881.9266717</v>
      </c>
      <c r="D6" s="232">
        <f>'Balance PyG'!D6</f>
        <v>1412156071.7107465</v>
      </c>
      <c r="E6" s="232">
        <f>'Balance PyG'!E6</f>
        <v>1677128800.5383356</v>
      </c>
      <c r="F6" s="232">
        <f>'Balance PyG'!F6</f>
        <v>1991820217.2849472</v>
      </c>
    </row>
    <row r="7" spans="1:6" x14ac:dyDescent="0.25">
      <c r="A7" s="38" t="s">
        <v>209</v>
      </c>
      <c r="B7" s="231">
        <f>B5-B6</f>
        <v>500593566.41666675</v>
      </c>
      <c r="C7" s="231">
        <f t="shared" ref="C7:F7" si="0">C5-C6</f>
        <v>594523441.43839073</v>
      </c>
      <c r="D7" s="231">
        <f t="shared" si="0"/>
        <v>706078036.41956615</v>
      </c>
      <c r="E7" s="231">
        <f t="shared" si="0"/>
        <v>838564400.939224</v>
      </c>
      <c r="F7" s="231">
        <f t="shared" si="0"/>
        <v>995910109.43825746</v>
      </c>
    </row>
    <row r="8" spans="1:6" x14ac:dyDescent="0.25">
      <c r="A8" s="38" t="s">
        <v>162</v>
      </c>
      <c r="B8" s="231"/>
      <c r="C8" s="231"/>
      <c r="D8" s="231"/>
      <c r="E8" s="231"/>
      <c r="F8" s="231"/>
    </row>
    <row r="9" spans="1:6" x14ac:dyDescent="0.25">
      <c r="A9" s="38" t="str">
        <f>'Costos y Gastos'!A66</f>
        <v>Gastos de personal</v>
      </c>
      <c r="B9" s="232">
        <f>'Balance PyG'!B7</f>
        <v>147000000</v>
      </c>
      <c r="C9" s="232">
        <f>'Balance PyG'!C7</f>
        <v>161802900</v>
      </c>
      <c r="D9" s="232">
        <f>'Balance PyG'!D7</f>
        <v>178096452.24000001</v>
      </c>
      <c r="E9" s="232">
        <f>'Balance PyG'!E7</f>
        <v>196030765.19999999</v>
      </c>
      <c r="F9" s="232">
        <f>'Balance PyG'!F7</f>
        <v>215771063.16</v>
      </c>
    </row>
    <row r="10" spans="1:6" x14ac:dyDescent="0.25">
      <c r="A10" s="38" t="str">
        <f>'Costos y Gastos'!A67</f>
        <v>Gastos de arriendo</v>
      </c>
      <c r="B10" s="232">
        <f>'Balance PyG'!B8</f>
        <v>43680000</v>
      </c>
      <c r="C10" s="232">
        <f>'Balance PyG'!C8</f>
        <v>47903856</v>
      </c>
      <c r="D10" s="232">
        <f>'Balance PyG'!D8</f>
        <v>52536158.875200003</v>
      </c>
      <c r="E10" s="232">
        <f>'Balance PyG'!E8</f>
        <v>57616405.438431844</v>
      </c>
      <c r="F10" s="232">
        <f>'Balance PyG'!F8</f>
        <v>63187911.844328202</v>
      </c>
    </row>
    <row r="11" spans="1:6" x14ac:dyDescent="0.25">
      <c r="A11" s="38" t="str">
        <f>'Costos y Gastos'!A68</f>
        <v>Gasto servicios de terceros</v>
      </c>
      <c r="B11" s="232">
        <f>'Balance PyG'!B9</f>
        <v>72242400</v>
      </c>
      <c r="C11" s="232">
        <f>'Balance PyG'!C9</f>
        <v>79228240.079999998</v>
      </c>
      <c r="D11" s="232">
        <f>'Balance PyG'!D9</f>
        <v>86889610.895736009</v>
      </c>
      <c r="E11" s="232">
        <f>'Balance PyG'!E9</f>
        <v>95291836.269353688</v>
      </c>
      <c r="F11" s="232">
        <f>'Balance PyG'!F9</f>
        <v>104506556.83660018</v>
      </c>
    </row>
    <row r="12" spans="1:6" x14ac:dyDescent="0.25">
      <c r="A12" s="38" t="str">
        <f>'Costos y Gastos'!A69</f>
        <v xml:space="preserve">Gastos servicios básicos </v>
      </c>
      <c r="B12" s="232">
        <f>'Balance PyG'!B10</f>
        <v>7945440</v>
      </c>
      <c r="C12" s="232">
        <f>'Balance PyG'!C10</f>
        <v>8713764.0480000004</v>
      </c>
      <c r="D12" s="232">
        <f>'Balance PyG'!D10</f>
        <v>9556385.0314415991</v>
      </c>
      <c r="E12" s="232">
        <f>'Balance PyG'!E10</f>
        <v>10480487.463982003</v>
      </c>
      <c r="F12" s="232">
        <f>'Balance PyG'!F10</f>
        <v>11493950.601749063</v>
      </c>
    </row>
    <row r="13" spans="1:6" x14ac:dyDescent="0.25">
      <c r="A13" s="38" t="str">
        <f>'Costos y Gastos'!A70</f>
        <v>Gastos de suministros de farmacia</v>
      </c>
      <c r="B13" s="232">
        <f>'Balance PyG'!B11</f>
        <v>13308348</v>
      </c>
      <c r="C13" s="232">
        <f>'Balance PyG'!C11</f>
        <v>14595265.251599999</v>
      </c>
      <c r="D13" s="232">
        <f>'Balance PyG'!D11</f>
        <v>16006627.401429718</v>
      </c>
      <c r="E13" s="232">
        <f>'Balance PyG'!E11</f>
        <v>17554468.271147974</v>
      </c>
      <c r="F13" s="232">
        <f>'Balance PyG'!F11</f>
        <v>19251985.352967985</v>
      </c>
    </row>
    <row r="14" spans="1:6" x14ac:dyDescent="0.25">
      <c r="A14" s="38" t="str">
        <f>'Costos y Gastos'!A71</f>
        <v xml:space="preserve">Gasto suministros de oficina </v>
      </c>
      <c r="B14" s="232">
        <f>'Balance PyG'!B12</f>
        <v>4131600</v>
      </c>
      <c r="C14" s="232">
        <f>'Balance PyG'!C12</f>
        <v>4531125.7200000007</v>
      </c>
      <c r="D14" s="232">
        <f>'Balance PyG'!D12</f>
        <v>4969285.5771240005</v>
      </c>
      <c r="E14" s="232">
        <f>'Balance PyG'!E12</f>
        <v>5449815.4924318912</v>
      </c>
      <c r="F14" s="232">
        <f>'Balance PyG'!F12</f>
        <v>5976812.6505500544</v>
      </c>
    </row>
    <row r="15" spans="1:6" x14ac:dyDescent="0.25">
      <c r="A15" s="38" t="str">
        <f>'Costos y Gastos'!A72</f>
        <v>Gastos de publicidad</v>
      </c>
      <c r="B15" s="232">
        <f>'Balance PyG'!B13</f>
        <v>17828760</v>
      </c>
      <c r="C15" s="232">
        <f>'Balance PyG'!C13</f>
        <v>20126887.163999997</v>
      </c>
      <c r="D15" s="232">
        <f>'Balance PyG'!D13</f>
        <v>22721242.919439599</v>
      </c>
      <c r="E15" s="232">
        <f>'Balance PyG'!E13</f>
        <v>25650011.131755363</v>
      </c>
      <c r="F15" s="232">
        <f>'Balance PyG'!F13</f>
        <v>28956297.56663863</v>
      </c>
    </row>
    <row r="16" spans="1:6" x14ac:dyDescent="0.25">
      <c r="A16" s="38" t="s">
        <v>211</v>
      </c>
      <c r="B16" s="231">
        <f>SUM(B9:B15)</f>
        <v>306136548</v>
      </c>
      <c r="C16" s="231">
        <f t="shared" ref="C16:F16" si="1">SUM(C9:C15)</f>
        <v>336902038.26359999</v>
      </c>
      <c r="D16" s="231">
        <f t="shared" si="1"/>
        <v>370775762.94037092</v>
      </c>
      <c r="E16" s="231">
        <f t="shared" si="1"/>
        <v>408073789.26710272</v>
      </c>
      <c r="F16" s="231">
        <f t="shared" si="1"/>
        <v>449144578.01283413</v>
      </c>
    </row>
    <row r="17" spans="1:9" x14ac:dyDescent="0.25">
      <c r="A17" s="38" t="s">
        <v>210</v>
      </c>
      <c r="B17" s="231">
        <f>B7-B16</f>
        <v>194457018.41666675</v>
      </c>
      <c r="C17" s="231">
        <f t="shared" ref="C17:F17" si="2">C7-C16</f>
        <v>257621403.17479074</v>
      </c>
      <c r="D17" s="231">
        <f t="shared" si="2"/>
        <v>335302273.47919524</v>
      </c>
      <c r="E17" s="231">
        <f t="shared" si="2"/>
        <v>430490611.67212129</v>
      </c>
      <c r="F17" s="231">
        <f t="shared" si="2"/>
        <v>546765531.42542338</v>
      </c>
    </row>
    <row r="18" spans="1:9" x14ac:dyDescent="0.25">
      <c r="A18" s="38" t="s">
        <v>215</v>
      </c>
      <c r="B18" s="232">
        <f>B17*15%</f>
        <v>29168552.76250001</v>
      </c>
      <c r="C18" s="232">
        <f t="shared" ref="C18:F18" si="3">C17*15%</f>
        <v>38643210.476218611</v>
      </c>
      <c r="D18" s="232">
        <f t="shared" si="3"/>
        <v>50295341.021879286</v>
      </c>
      <c r="E18" s="232">
        <f t="shared" si="3"/>
        <v>64573591.750818193</v>
      </c>
      <c r="F18" s="232">
        <f t="shared" si="3"/>
        <v>82014829.713813499</v>
      </c>
    </row>
    <row r="19" spans="1:9" x14ac:dyDescent="0.25">
      <c r="A19" s="38" t="s">
        <v>213</v>
      </c>
      <c r="B19" s="232">
        <f>'Balance PyG'!B17</f>
        <v>38307575.976799995</v>
      </c>
      <c r="C19" s="232">
        <f>'Balance PyG'!C17</f>
        <v>36279745.886999771</v>
      </c>
      <c r="D19" s="232">
        <f>'Balance PyG'!D17</f>
        <v>33977753.169058561</v>
      </c>
      <c r="E19" s="232">
        <f>'Balance PyG'!E17</f>
        <v>31364531.035651699</v>
      </c>
      <c r="F19" s="232">
        <f>'Balance PyG'!F17</f>
        <v>28398001.269808229</v>
      </c>
    </row>
    <row r="20" spans="1:9" x14ac:dyDescent="0.25">
      <c r="A20" s="38" t="s">
        <v>212</v>
      </c>
      <c r="B20" s="232">
        <f>'Balance PyG'!B19+'Balance PyG'!B20</f>
        <v>41018869.733333334</v>
      </c>
      <c r="C20" s="232">
        <f>'Balance PyG'!C19+'Balance PyG'!C20</f>
        <v>41018869.733333334</v>
      </c>
      <c r="D20" s="232">
        <f>'Balance PyG'!D19+'Balance PyG'!D20</f>
        <v>41018869.733333334</v>
      </c>
      <c r="E20" s="232">
        <f>'Balance PyG'!E19+'Balance PyG'!E20</f>
        <v>41018869.733333334</v>
      </c>
      <c r="F20" s="232">
        <f>'Balance PyG'!F19+'Balance PyG'!F20</f>
        <v>41018869.733333334</v>
      </c>
    </row>
    <row r="21" spans="1:9" x14ac:dyDescent="0.25">
      <c r="A21" s="38" t="s">
        <v>214</v>
      </c>
      <c r="B21" s="232">
        <f>'Balance PyG'!B23</f>
        <v>21490504.986008354</v>
      </c>
      <c r="C21" s="232">
        <f>'Balance PyG'!C23</f>
        <v>35419894.269559726</v>
      </c>
      <c r="D21" s="232">
        <f>'Balance PyG'!D23</f>
        <v>52502577.388730988</v>
      </c>
      <c r="E21" s="232">
        <f>'Balance PyG'!E23</f>
        <v>73383404.788079515</v>
      </c>
      <c r="F21" s="232">
        <f>'Balance PyG'!F23</f>
        <v>98833457.67711702</v>
      </c>
    </row>
    <row r="22" spans="1:9" x14ac:dyDescent="0.25">
      <c r="A22" s="234" t="s">
        <v>216</v>
      </c>
      <c r="B22" s="233">
        <f>B17-(B18+B19+B20+B21)</f>
        <v>64471514.958025038</v>
      </c>
      <c r="C22" s="233">
        <f t="shared" ref="C22:F22" si="4">C17-(C18+C19+C20+C21)</f>
        <v>106259682.80867928</v>
      </c>
      <c r="D22" s="233">
        <f t="shared" si="4"/>
        <v>157507732.16619307</v>
      </c>
      <c r="E22" s="233">
        <f t="shared" si="4"/>
        <v>220150214.36423856</v>
      </c>
      <c r="F22" s="233">
        <f t="shared" si="4"/>
        <v>296500373.03135133</v>
      </c>
    </row>
    <row r="23" spans="1:9" x14ac:dyDescent="0.25">
      <c r="C23" s="41"/>
      <c r="D23" s="35"/>
      <c r="E23" s="35"/>
      <c r="F23" s="35"/>
      <c r="G23" s="35"/>
    </row>
    <row r="24" spans="1:9" x14ac:dyDescent="0.25">
      <c r="A24" s="37" t="s">
        <v>220</v>
      </c>
      <c r="B24" s="231">
        <f>FC!B17</f>
        <v>194457018.41666675</v>
      </c>
      <c r="C24" s="231">
        <f>FC!C17</f>
        <v>257621403.17479074</v>
      </c>
      <c r="D24" s="231">
        <f>FC!D17</f>
        <v>335302273.47919524</v>
      </c>
      <c r="E24" s="231">
        <f>FC!E17</f>
        <v>430490611.67212129</v>
      </c>
      <c r="F24" s="231">
        <f>FC!F17</f>
        <v>546765531.42542338</v>
      </c>
      <c r="G24" s="35"/>
    </row>
    <row r="25" spans="1:9" x14ac:dyDescent="0.25">
      <c r="A25" s="38" t="s">
        <v>219</v>
      </c>
      <c r="B25" s="232">
        <f>B20</f>
        <v>41018869.733333334</v>
      </c>
      <c r="C25" s="232">
        <f>C20</f>
        <v>41018869.733333334</v>
      </c>
      <c r="D25" s="232">
        <f>D20</f>
        <v>41018869.733333334</v>
      </c>
      <c r="E25" s="232">
        <f>E20</f>
        <v>41018869.733333334</v>
      </c>
      <c r="F25" s="232">
        <f>F20</f>
        <v>41018869.733333334</v>
      </c>
      <c r="G25" s="35"/>
    </row>
    <row r="26" spans="1:9" x14ac:dyDescent="0.25">
      <c r="A26" s="38" t="s">
        <v>217</v>
      </c>
      <c r="B26" s="232">
        <f>-B22*Financiamiento!$D$10</f>
        <v>-29012181.6873096</v>
      </c>
      <c r="C26" s="232">
        <f>-C22*Financiamiento!$D$10</f>
        <v>-47816857.191713311</v>
      </c>
      <c r="D26" s="232">
        <f>-D22*Financiamiento!$D$10</f>
        <v>-70878479.367776811</v>
      </c>
      <c r="E26" s="232">
        <f>-E22*Financiamiento!$D$10</f>
        <v>-99067596.314338252</v>
      </c>
      <c r="F26" s="232">
        <f>-F22*Financiamiento!$D$10</f>
        <v>-133425167.66266704</v>
      </c>
      <c r="G26" s="35"/>
    </row>
    <row r="27" spans="1:9" x14ac:dyDescent="0.25">
      <c r="A27" s="38" t="s">
        <v>218</v>
      </c>
      <c r="B27" s="232">
        <f>-Financiamiento!$B$18-B19</f>
        <v>-91613895.221353114</v>
      </c>
      <c r="C27" s="232">
        <f>-Financiamiento!$B$18-C19</f>
        <v>-89586065.131552875</v>
      </c>
      <c r="D27" s="232">
        <f>-Financiamiento!$B$18-D19</f>
        <v>-87284072.41361168</v>
      </c>
      <c r="E27" s="232">
        <f>-Financiamiento!$B$18-E19</f>
        <v>-84670850.280204803</v>
      </c>
      <c r="F27" s="232">
        <f>-Financiamiento!$B$18-F19</f>
        <v>-81704320.514361337</v>
      </c>
      <c r="G27" s="35"/>
    </row>
    <row r="28" spans="1:9" x14ac:dyDescent="0.25">
      <c r="A28" s="37" t="s">
        <v>221</v>
      </c>
      <c r="B28" s="231">
        <f>SUM(B24:B27)</f>
        <v>114849811.24133739</v>
      </c>
      <c r="C28" s="231">
        <f>SUM(C24:C27)</f>
        <v>161237350.58485791</v>
      </c>
      <c r="D28" s="231">
        <f>SUM(D24:D27)</f>
        <v>218158591.43114009</v>
      </c>
      <c r="E28" s="231">
        <f>SUM(E24:E27)</f>
        <v>287771034.81091154</v>
      </c>
      <c r="F28" s="231">
        <f>SUM(F24:F27)</f>
        <v>372654912.98172837</v>
      </c>
      <c r="G28" s="35"/>
    </row>
    <row r="30" spans="1:9" x14ac:dyDescent="0.25">
      <c r="A30" s="415" t="s">
        <v>79</v>
      </c>
      <c r="B30" s="415"/>
      <c r="C30" s="415"/>
      <c r="D30" s="415"/>
      <c r="E30" s="415"/>
    </row>
    <row r="31" spans="1:9" x14ac:dyDescent="0.25">
      <c r="A31" s="103" t="s">
        <v>80</v>
      </c>
      <c r="B31" s="416">
        <f>I34</f>
        <v>0.25719999999999998</v>
      </c>
      <c r="C31" s="416"/>
      <c r="D31" s="416"/>
      <c r="E31" s="416"/>
      <c r="H31" s="408" t="s">
        <v>80</v>
      </c>
      <c r="I31" s="408"/>
    </row>
    <row r="32" spans="1:9" x14ac:dyDescent="0.25">
      <c r="A32" s="103" t="s">
        <v>81</v>
      </c>
      <c r="B32" s="103" t="s">
        <v>20</v>
      </c>
      <c r="C32" s="103" t="s">
        <v>10</v>
      </c>
      <c r="D32" s="103" t="s">
        <v>21</v>
      </c>
      <c r="E32" s="103" t="s">
        <v>22</v>
      </c>
      <c r="G32" s="97"/>
      <c r="H32" s="32" t="s">
        <v>89</v>
      </c>
      <c r="I32" s="62">
        <f>Ingresos!M2</f>
        <v>0.122</v>
      </c>
    </row>
    <row r="33" spans="1:9" x14ac:dyDescent="0.25">
      <c r="A33" s="77">
        <v>0</v>
      </c>
      <c r="B33" s="290">
        <f>-Inversiones!C60</f>
        <v>-515163743</v>
      </c>
      <c r="C33" s="98">
        <f t="shared" ref="C33:C38" si="5">1/((1+$B$31)^A33)</f>
        <v>1</v>
      </c>
      <c r="D33" s="290">
        <f t="shared" ref="D33:D37" si="6">B33*C33</f>
        <v>-515163743</v>
      </c>
      <c r="E33" s="290">
        <f>D33</f>
        <v>-515163743</v>
      </c>
      <c r="G33" s="97"/>
      <c r="H33" s="32" t="s">
        <v>116</v>
      </c>
      <c r="I33" s="62">
        <f>Financiamiento!B14</f>
        <v>0.13519999999999999</v>
      </c>
    </row>
    <row r="34" spans="1:9" x14ac:dyDescent="0.25">
      <c r="A34" s="77">
        <v>1</v>
      </c>
      <c r="B34" s="290">
        <f>B28</f>
        <v>114849811.24133739</v>
      </c>
      <c r="C34" s="98">
        <f t="shared" si="5"/>
        <v>0.79541839007317838</v>
      </c>
      <c r="D34" s="290">
        <f>B34*C34</f>
        <v>91353651.957793012</v>
      </c>
      <c r="E34" s="290">
        <f>E33+D34</f>
        <v>-423810091.042207</v>
      </c>
      <c r="G34" s="97"/>
      <c r="I34" s="62">
        <f>SUM(I32:I33)</f>
        <v>0.25719999999999998</v>
      </c>
    </row>
    <row r="35" spans="1:9" x14ac:dyDescent="0.25">
      <c r="A35" s="77">
        <v>2</v>
      </c>
      <c r="B35" s="290">
        <f>C28</f>
        <v>161237350.58485791</v>
      </c>
      <c r="C35" s="98">
        <f t="shared" si="5"/>
        <v>0.63269041526660708</v>
      </c>
      <c r="D35" s="290">
        <f t="shared" si="6"/>
        <v>102013326.29802126</v>
      </c>
      <c r="E35" s="290">
        <f t="shared" ref="E35:E37" si="7">E34+D35</f>
        <v>-321796764.74418575</v>
      </c>
    </row>
    <row r="36" spans="1:9" x14ac:dyDescent="0.25">
      <c r="A36" s="77">
        <v>3</v>
      </c>
      <c r="B36" s="290">
        <f>D28</f>
        <v>218158591.43114009</v>
      </c>
      <c r="C36" s="98">
        <f t="shared" si="5"/>
        <v>0.50325359152609528</v>
      </c>
      <c r="D36" s="290">
        <f t="shared" si="6"/>
        <v>109789094.65999529</v>
      </c>
      <c r="E36" s="290">
        <f t="shared" si="7"/>
        <v>-212007670.08419046</v>
      </c>
    </row>
    <row r="37" spans="1:9" x14ac:dyDescent="0.25">
      <c r="A37" s="77">
        <v>4</v>
      </c>
      <c r="B37" s="290">
        <f>E28</f>
        <v>287771034.81091154</v>
      </c>
      <c r="C37" s="98">
        <f t="shared" si="5"/>
        <v>0.40029716157023165</v>
      </c>
      <c r="D37" s="290">
        <f t="shared" si="6"/>
        <v>115193928.41693622</v>
      </c>
      <c r="E37" s="290">
        <f t="shared" si="7"/>
        <v>-96813741.667254239</v>
      </c>
    </row>
    <row r="38" spans="1:9" x14ac:dyDescent="0.25">
      <c r="A38" s="77">
        <v>5</v>
      </c>
      <c r="B38" s="290">
        <f>F28</f>
        <v>372654912.98172837</v>
      </c>
      <c r="C38" s="98">
        <f t="shared" si="5"/>
        <v>0.31840372380705667</v>
      </c>
      <c r="D38" s="290">
        <f>B38*C38</f>
        <v>118654711.98837698</v>
      </c>
      <c r="E38" s="290">
        <f>E37+D38</f>
        <v>21840970.321122736</v>
      </c>
    </row>
    <row r="39" spans="1:9" x14ac:dyDescent="0.25">
      <c r="A39" s="419" t="s">
        <v>6</v>
      </c>
      <c r="B39" s="420"/>
      <c r="C39" s="421"/>
      <c r="D39" s="291">
        <f>SUM(D33:D38)</f>
        <v>21840970.321122736</v>
      </c>
      <c r="E39" s="39"/>
    </row>
    <row r="41" spans="1:9" x14ac:dyDescent="0.25">
      <c r="A41" s="415" t="s">
        <v>11</v>
      </c>
      <c r="B41" s="415"/>
    </row>
    <row r="42" spans="1:9" x14ac:dyDescent="0.25">
      <c r="A42" s="103" t="s">
        <v>81</v>
      </c>
      <c r="B42" s="103" t="s">
        <v>20</v>
      </c>
    </row>
    <row r="43" spans="1:9" x14ac:dyDescent="0.25">
      <c r="A43" s="77">
        <v>0</v>
      </c>
      <c r="B43" s="290">
        <f>-Inversiones!C60</f>
        <v>-515163743</v>
      </c>
      <c r="C43" s="41">
        <f>B43</f>
        <v>-515163743</v>
      </c>
    </row>
    <row r="44" spans="1:9" x14ac:dyDescent="0.25">
      <c r="A44" s="77">
        <v>1</v>
      </c>
      <c r="B44" s="290">
        <f>B34</f>
        <v>114849811.24133739</v>
      </c>
      <c r="C44" s="41">
        <f>C43+B44</f>
        <v>-400313931.75866258</v>
      </c>
    </row>
    <row r="45" spans="1:9" x14ac:dyDescent="0.25">
      <c r="A45" s="77">
        <v>2</v>
      </c>
      <c r="B45" s="290">
        <f t="shared" ref="B45:B48" si="8">B35</f>
        <v>161237350.58485791</v>
      </c>
      <c r="C45" s="41">
        <f t="shared" ref="C45:C48" si="9">C44+B45</f>
        <v>-239076581.17380467</v>
      </c>
    </row>
    <row r="46" spans="1:9" x14ac:dyDescent="0.25">
      <c r="A46" s="77">
        <v>3</v>
      </c>
      <c r="B46" s="290">
        <f t="shared" si="8"/>
        <v>218158591.43114009</v>
      </c>
      <c r="C46" s="41">
        <f t="shared" si="9"/>
        <v>-20917989.742664576</v>
      </c>
      <c r="E46" s="62"/>
    </row>
    <row r="47" spans="1:9" x14ac:dyDescent="0.25">
      <c r="A47" s="77">
        <v>4</v>
      </c>
      <c r="B47" s="290">
        <f t="shared" si="8"/>
        <v>287771034.81091154</v>
      </c>
      <c r="C47" s="41">
        <f t="shared" si="9"/>
        <v>266853045.06824696</v>
      </c>
    </row>
    <row r="48" spans="1:9" x14ac:dyDescent="0.25">
      <c r="A48" s="77">
        <v>5</v>
      </c>
      <c r="B48" s="290">
        <f t="shared" si="8"/>
        <v>372654912.98172837</v>
      </c>
      <c r="C48" s="41">
        <f t="shared" si="9"/>
        <v>639507958.0499754</v>
      </c>
    </row>
    <row r="49" spans="1:6" x14ac:dyDescent="0.25">
      <c r="A49" s="99" t="s">
        <v>11</v>
      </c>
      <c r="B49" s="100">
        <f>IRR(B43:B48,12)</f>
        <v>0.27408017380962146</v>
      </c>
    </row>
    <row r="51" spans="1:6" x14ac:dyDescent="0.25">
      <c r="A51" s="415" t="s">
        <v>82</v>
      </c>
      <c r="B51" s="415"/>
    </row>
    <row r="52" spans="1:6" x14ac:dyDescent="0.25">
      <c r="A52" s="38" t="s">
        <v>90</v>
      </c>
      <c r="B52" s="46">
        <v>3</v>
      </c>
    </row>
    <row r="53" spans="1:6" x14ac:dyDescent="0.25">
      <c r="A53" s="38" t="s">
        <v>91</v>
      </c>
      <c r="B53" s="46">
        <f>B43</f>
        <v>-515163743</v>
      </c>
    </row>
    <row r="54" spans="1:6" x14ac:dyDescent="0.25">
      <c r="A54" s="38" t="s">
        <v>92</v>
      </c>
      <c r="B54" s="46">
        <f>C45</f>
        <v>-239076581.17380467</v>
      </c>
    </row>
    <row r="55" spans="1:6" x14ac:dyDescent="0.25">
      <c r="A55" s="38" t="s">
        <v>93</v>
      </c>
      <c r="B55" s="46">
        <f>B46</f>
        <v>218158591.43114009</v>
      </c>
    </row>
    <row r="56" spans="1:6" x14ac:dyDescent="0.25">
      <c r="A56" s="38" t="s">
        <v>94</v>
      </c>
      <c r="B56" s="46">
        <f>B52+((B53-B54)/B55)</f>
        <v>1.7344657846613392</v>
      </c>
    </row>
    <row r="57" spans="1:6" x14ac:dyDescent="0.25">
      <c r="A57" s="38" t="s">
        <v>155</v>
      </c>
      <c r="B57" s="308">
        <v>2</v>
      </c>
    </row>
    <row r="58" spans="1:6" x14ac:dyDescent="0.25">
      <c r="A58" s="38" t="s">
        <v>156</v>
      </c>
      <c r="B58" s="235">
        <f>(B56-B57)*12</f>
        <v>-3.1864105840639301</v>
      </c>
    </row>
    <row r="59" spans="1:6" x14ac:dyDescent="0.25">
      <c r="A59" s="38" t="s">
        <v>157</v>
      </c>
      <c r="B59" s="228">
        <f>(B58-4)*30</f>
        <v>-215.59231752191789</v>
      </c>
    </row>
    <row r="61" spans="1:6" x14ac:dyDescent="0.25">
      <c r="A61" s="409" t="s">
        <v>50</v>
      </c>
      <c r="B61" s="410"/>
      <c r="C61" s="410"/>
      <c r="D61" s="410"/>
      <c r="E61" s="410"/>
      <c r="F61" s="410"/>
    </row>
    <row r="62" spans="1:6" x14ac:dyDescent="0.25">
      <c r="A62" s="104" t="s">
        <v>47</v>
      </c>
      <c r="B62" s="104" t="s">
        <v>36</v>
      </c>
      <c r="C62" s="104" t="s">
        <v>38</v>
      </c>
      <c r="D62" s="104" t="s">
        <v>39</v>
      </c>
      <c r="E62" s="104" t="s">
        <v>40</v>
      </c>
      <c r="F62" s="104" t="s">
        <v>41</v>
      </c>
    </row>
    <row r="63" spans="1:6" x14ac:dyDescent="0.25">
      <c r="A63" s="38" t="s">
        <v>161</v>
      </c>
      <c r="B63" s="230"/>
      <c r="C63" s="230"/>
      <c r="D63" s="230"/>
      <c r="E63" s="230"/>
      <c r="F63" s="230"/>
    </row>
    <row r="64" spans="1:6" x14ac:dyDescent="0.25">
      <c r="A64" s="38" t="s">
        <v>207</v>
      </c>
      <c r="B64" s="232">
        <f>'Balance PyG'!B29</f>
        <v>1501780698.45</v>
      </c>
      <c r="C64" s="232">
        <f>'Balance PyG'!C29</f>
        <v>1816427783.2664502</v>
      </c>
      <c r="D64" s="232">
        <f>'Balance PyG'!D29</f>
        <v>2196998466.7053037</v>
      </c>
      <c r="E64" s="232">
        <f>'Balance PyG'!E29</f>
        <v>2657304797.4555321</v>
      </c>
      <c r="F64" s="232">
        <f>'Balance PyG'!F29</f>
        <v>3214052669.3992248</v>
      </c>
    </row>
    <row r="65" spans="1:6" x14ac:dyDescent="0.25">
      <c r="A65" s="38" t="s">
        <v>208</v>
      </c>
      <c r="B65" s="232">
        <f>'Balance PyG'!B31</f>
        <v>1001187132.0333333</v>
      </c>
      <c r="C65" s="232">
        <f>'Balance PyG'!C31</f>
        <v>1210951855.1884291</v>
      </c>
      <c r="D65" s="232">
        <f>'Balance PyG'!D31</f>
        <v>1464665644.0800879</v>
      </c>
      <c r="E65" s="232">
        <f>'Balance PyG'!E31</f>
        <v>1771536531.1651716</v>
      </c>
      <c r="F65" s="232">
        <f>'Balance PyG'!F31</f>
        <v>2142701779.0287733</v>
      </c>
    </row>
    <row r="66" spans="1:6" x14ac:dyDescent="0.25">
      <c r="A66" s="38" t="s">
        <v>209</v>
      </c>
      <c r="B66" s="231">
        <f>B64-B65</f>
        <v>500593566.41666675</v>
      </c>
      <c r="C66" s="231">
        <f t="shared" ref="C66:F66" si="10">C64-C65</f>
        <v>605475928.07802105</v>
      </c>
      <c r="D66" s="231">
        <f t="shared" si="10"/>
        <v>732332822.62521577</v>
      </c>
      <c r="E66" s="231">
        <f t="shared" si="10"/>
        <v>885768266.29036045</v>
      </c>
      <c r="F66" s="231">
        <f t="shared" si="10"/>
        <v>1071350890.3704515</v>
      </c>
    </row>
    <row r="67" spans="1:6" x14ac:dyDescent="0.25">
      <c r="A67" s="38" t="s">
        <v>162</v>
      </c>
      <c r="B67" s="231"/>
      <c r="C67" s="231"/>
      <c r="D67" s="231"/>
      <c r="E67" s="231"/>
      <c r="F67" s="231"/>
    </row>
    <row r="68" spans="1:6" x14ac:dyDescent="0.25">
      <c r="A68" s="38" t="s">
        <v>201</v>
      </c>
      <c r="B68" s="232">
        <f>'Balance PyG'!B32</f>
        <v>147000000</v>
      </c>
      <c r="C68" s="232">
        <f>'Balance PyG'!C32</f>
        <v>161802900</v>
      </c>
      <c r="D68" s="232">
        <f>'Balance PyG'!D32</f>
        <v>178096452.24000001</v>
      </c>
      <c r="E68" s="232">
        <f>'Balance PyG'!E32</f>
        <v>196030765.19999999</v>
      </c>
      <c r="F68" s="232">
        <f>'Balance PyG'!F32</f>
        <v>215771063.16</v>
      </c>
    </row>
    <row r="69" spans="1:6" x14ac:dyDescent="0.25">
      <c r="A69" s="38" t="s">
        <v>83</v>
      </c>
      <c r="B69" s="232">
        <f>'Balance PyG'!B33</f>
        <v>43680000</v>
      </c>
      <c r="C69" s="232">
        <f>'Balance PyG'!C33</f>
        <v>46650240</v>
      </c>
      <c r="D69" s="232">
        <f>'Balance PyG'!D33</f>
        <v>49822456.32</v>
      </c>
      <c r="E69" s="232">
        <f>'Balance PyG'!E33</f>
        <v>53210383.349760003</v>
      </c>
      <c r="F69" s="232">
        <f>'Balance PyG'!F33</f>
        <v>56828689.417543687</v>
      </c>
    </row>
    <row r="70" spans="1:6" x14ac:dyDescent="0.25">
      <c r="A70" s="38" t="s">
        <v>19</v>
      </c>
      <c r="B70" s="232">
        <f>'Balance PyG'!B34</f>
        <v>72242400</v>
      </c>
      <c r="C70" s="232">
        <f>'Balance PyG'!C34</f>
        <v>77154883.200000003</v>
      </c>
      <c r="D70" s="232">
        <f>'Balance PyG'!D34</f>
        <v>82401415.257600009</v>
      </c>
      <c r="E70" s="232">
        <f>'Balance PyG'!E34</f>
        <v>88004711.495116815</v>
      </c>
      <c r="F70" s="232">
        <f>'Balance PyG'!F34</f>
        <v>93989031.876784757</v>
      </c>
    </row>
    <row r="71" spans="1:6" x14ac:dyDescent="0.25">
      <c r="A71" s="38" t="s">
        <v>4</v>
      </c>
      <c r="B71" s="232">
        <f>'Balance PyG'!B35</f>
        <v>7945440</v>
      </c>
      <c r="C71" s="232">
        <f>'Balance PyG'!C35</f>
        <v>8485729.9199999999</v>
      </c>
      <c r="D71" s="232">
        <f>'Balance PyG'!D35</f>
        <v>9062759.5545600001</v>
      </c>
      <c r="E71" s="232">
        <f>'Balance PyG'!E35</f>
        <v>9679027.2042700797</v>
      </c>
      <c r="F71" s="232">
        <f>'Balance PyG'!F35</f>
        <v>10337201.054160446</v>
      </c>
    </row>
    <row r="72" spans="1:6" x14ac:dyDescent="0.25">
      <c r="A72" s="38" t="s">
        <v>202</v>
      </c>
      <c r="B72" s="232">
        <f>'Balance PyG'!B36</f>
        <v>13308348</v>
      </c>
      <c r="C72" s="232">
        <f>'Balance PyG'!C36</f>
        <v>14213315.664000001</v>
      </c>
      <c r="D72" s="232">
        <f>'Balance PyG'!D36</f>
        <v>15179821.129152002</v>
      </c>
      <c r="E72" s="232">
        <f>'Balance PyG'!E36</f>
        <v>16212048.965934338</v>
      </c>
      <c r="F72" s="232">
        <f>'Balance PyG'!F36</f>
        <v>17314468.295617875</v>
      </c>
    </row>
    <row r="73" spans="1:6" x14ac:dyDescent="0.25">
      <c r="A73" s="38" t="s">
        <v>5</v>
      </c>
      <c r="B73" s="232">
        <f>'Balance PyG'!B37</f>
        <v>4131600</v>
      </c>
      <c r="C73" s="232">
        <f>'Balance PyG'!C37</f>
        <v>4412548.8</v>
      </c>
      <c r="D73" s="232">
        <f>'Balance PyG'!D37</f>
        <v>4712602.1184</v>
      </c>
      <c r="E73" s="232">
        <f>'Balance PyG'!E37</f>
        <v>5033059.0624512006</v>
      </c>
      <c r="F73" s="232">
        <f>'Balance PyG'!F37</f>
        <v>5375307.0786978826</v>
      </c>
    </row>
    <row r="74" spans="1:6" x14ac:dyDescent="0.25">
      <c r="A74" s="38" t="s">
        <v>62</v>
      </c>
      <c r="B74" s="232">
        <f>'Balance PyG'!B38</f>
        <v>17828760</v>
      </c>
      <c r="C74" s="232">
        <f>'Balance PyG'!C38</f>
        <v>19041115.68</v>
      </c>
      <c r="D74" s="232">
        <f>'Balance PyG'!D38</f>
        <v>20335911.546240002</v>
      </c>
      <c r="E74" s="232">
        <f>'Balance PyG'!E38</f>
        <v>21718753.531384323</v>
      </c>
      <c r="F74" s="232">
        <f>'Balance PyG'!F38</f>
        <v>23195628.771518458</v>
      </c>
    </row>
    <row r="75" spans="1:6" x14ac:dyDescent="0.25">
      <c r="A75" s="38" t="s">
        <v>211</v>
      </c>
      <c r="B75" s="231">
        <f>SUM(B68:B74)</f>
        <v>306136548</v>
      </c>
      <c r="C75" s="231">
        <f t="shared" ref="C75:F75" si="11">SUM(C68:C74)</f>
        <v>331760733.264</v>
      </c>
      <c r="D75" s="231">
        <f t="shared" si="11"/>
        <v>359611418.16595197</v>
      </c>
      <c r="E75" s="231">
        <f t="shared" si="11"/>
        <v>389888748.80891675</v>
      </c>
      <c r="F75" s="231">
        <f t="shared" si="11"/>
        <v>422811389.6543231</v>
      </c>
    </row>
    <row r="76" spans="1:6" x14ac:dyDescent="0.25">
      <c r="A76" s="38" t="s">
        <v>210</v>
      </c>
      <c r="B76" s="231">
        <f>B66-B75</f>
        <v>194457018.41666675</v>
      </c>
      <c r="C76" s="231">
        <f t="shared" ref="C76:F76" si="12">C66-C75</f>
        <v>273715194.81402105</v>
      </c>
      <c r="D76" s="231">
        <f t="shared" si="12"/>
        <v>372721404.4592638</v>
      </c>
      <c r="E76" s="231">
        <f t="shared" si="12"/>
        <v>495879517.4814437</v>
      </c>
      <c r="F76" s="231">
        <f t="shared" si="12"/>
        <v>648539500.71612835</v>
      </c>
    </row>
    <row r="77" spans="1:6" x14ac:dyDescent="0.25">
      <c r="A77" s="38" t="s">
        <v>215</v>
      </c>
      <c r="B77" s="232">
        <f>B76*15%</f>
        <v>29168552.76250001</v>
      </c>
      <c r="C77" s="232">
        <f t="shared" ref="C77:F77" si="13">C76*15%</f>
        <v>41057279.222103156</v>
      </c>
      <c r="D77" s="232">
        <f t="shared" si="13"/>
        <v>55908210.668889567</v>
      </c>
      <c r="E77" s="232">
        <f t="shared" si="13"/>
        <v>74381927.622216552</v>
      </c>
      <c r="F77" s="232">
        <f t="shared" si="13"/>
        <v>97280925.107419252</v>
      </c>
    </row>
    <row r="78" spans="1:6" x14ac:dyDescent="0.25">
      <c r="A78" s="38" t="s">
        <v>213</v>
      </c>
      <c r="B78" s="232">
        <f>'Balance PyG'!B42</f>
        <v>38307575.976799995</v>
      </c>
      <c r="C78" s="232">
        <f>'Balance PyG'!C42</f>
        <v>36279745.886999771</v>
      </c>
      <c r="D78" s="232">
        <f>'Balance PyG'!D42</f>
        <v>33977753.169058561</v>
      </c>
      <c r="E78" s="232">
        <f>'Balance PyG'!E42</f>
        <v>31364531.035651699</v>
      </c>
      <c r="F78" s="232">
        <f>'Balance PyG'!F42</f>
        <v>28398001.269808229</v>
      </c>
    </row>
    <row r="79" spans="1:6" x14ac:dyDescent="0.25">
      <c r="A79" s="38" t="s">
        <v>212</v>
      </c>
      <c r="B79" s="232">
        <f>'Balance PyG'!B44+'Balance PyG'!B45</f>
        <v>41018869.733333334</v>
      </c>
      <c r="C79" s="232">
        <f>'Balance PyG'!C44+'Balance PyG'!C45</f>
        <v>41018869.733333334</v>
      </c>
      <c r="D79" s="232">
        <f>'Balance PyG'!D44+'Balance PyG'!D45</f>
        <v>41018869.733333334</v>
      </c>
      <c r="E79" s="232">
        <f>'Balance PyG'!E44+'Balance PyG'!E45</f>
        <v>41018869.733333334</v>
      </c>
      <c r="F79" s="232">
        <f>'Balance PyG'!F44+'Balance PyG'!F45</f>
        <v>41018869.733333334</v>
      </c>
    </row>
    <row r="80" spans="1:6" x14ac:dyDescent="0.25">
      <c r="A80" s="38" t="s">
        <v>214</v>
      </c>
      <c r="B80" s="232">
        <f>'Balance PyG'!B48</f>
        <v>21490504.986008354</v>
      </c>
      <c r="C80" s="232">
        <f>'Balance PyG'!C48</f>
        <v>38839824.992896155</v>
      </c>
      <c r="D80" s="232">
        <f>'Balance PyG'!D48</f>
        <v>60454142.721995533</v>
      </c>
      <c r="E80" s="232">
        <f>'Balance PyG'!E48</f>
        <v>87278547.272560567</v>
      </c>
      <c r="F80" s="232">
        <f>'Balance PyG'!F48</f>
        <v>120460426.15139189</v>
      </c>
    </row>
    <row r="81" spans="1:7" x14ac:dyDescent="0.25">
      <c r="A81" s="234" t="s">
        <v>216</v>
      </c>
      <c r="B81" s="233">
        <f>B76-(B77+B78+B79+B80)</f>
        <v>64471514.958025038</v>
      </c>
      <c r="C81" s="233">
        <f t="shared" ref="C81:F81" si="14">C76-(C77+C78+C79+C80)</f>
        <v>116519474.97868863</v>
      </c>
      <c r="D81" s="233">
        <f t="shared" si="14"/>
        <v>181362428.16598681</v>
      </c>
      <c r="E81" s="233">
        <f t="shared" si="14"/>
        <v>261835641.81768155</v>
      </c>
      <c r="F81" s="233">
        <f t="shared" si="14"/>
        <v>361381278.45417559</v>
      </c>
    </row>
    <row r="82" spans="1:7" x14ac:dyDescent="0.25">
      <c r="C82" s="41"/>
      <c r="D82" s="35"/>
      <c r="E82" s="35"/>
      <c r="F82" s="35"/>
      <c r="G82" s="35"/>
    </row>
    <row r="83" spans="1:7" x14ac:dyDescent="0.25">
      <c r="A83" s="38" t="s">
        <v>220</v>
      </c>
      <c r="B83" s="232">
        <f>FC!B76</f>
        <v>194457018.41666675</v>
      </c>
      <c r="C83" s="232">
        <f>FC!C76</f>
        <v>273715194.81402105</v>
      </c>
      <c r="D83" s="232">
        <f>FC!D76</f>
        <v>372721404.4592638</v>
      </c>
      <c r="E83" s="232">
        <f>FC!E76</f>
        <v>495879517.4814437</v>
      </c>
      <c r="F83" s="232">
        <f>FC!F76</f>
        <v>648539500.71612835</v>
      </c>
      <c r="G83" s="35"/>
    </row>
    <row r="84" spans="1:7" x14ac:dyDescent="0.25">
      <c r="A84" s="38" t="s">
        <v>219</v>
      </c>
      <c r="B84" s="232">
        <f>B79</f>
        <v>41018869.733333334</v>
      </c>
      <c r="C84" s="232">
        <f>C79</f>
        <v>41018869.733333334</v>
      </c>
      <c r="D84" s="232">
        <f>D79</f>
        <v>41018869.733333334</v>
      </c>
      <c r="E84" s="232">
        <f>E79</f>
        <v>41018869.733333334</v>
      </c>
      <c r="F84" s="232">
        <f>F79</f>
        <v>41018869.733333334</v>
      </c>
      <c r="G84" s="35"/>
    </row>
    <row r="85" spans="1:7" x14ac:dyDescent="0.25">
      <c r="A85" s="38" t="s">
        <v>217</v>
      </c>
      <c r="B85" s="232">
        <f>-B81*Financiamiento!$D$10</f>
        <v>-29012181.6873096</v>
      </c>
      <c r="C85" s="232">
        <f>-C81*Financiamiento!$D$10</f>
        <v>-52433763.66124706</v>
      </c>
      <c r="D85" s="232">
        <f>-D81*Financiamiento!$D$10</f>
        <v>-81613092.551477224</v>
      </c>
      <c r="E85" s="232">
        <f>-E81*Financiamiento!$D$10</f>
        <v>-117826038.6400667</v>
      </c>
      <c r="F85" s="232">
        <f>-F81*Financiamiento!$D$10</f>
        <v>-162621575.05885816</v>
      </c>
      <c r="G85" s="35"/>
    </row>
    <row r="86" spans="1:7" x14ac:dyDescent="0.25">
      <c r="A86" s="38" t="s">
        <v>218</v>
      </c>
      <c r="B86" s="232">
        <f>-Financiamiento!$B$18-B78</f>
        <v>-91613895.221353114</v>
      </c>
      <c r="C86" s="232">
        <f>-Financiamiento!$B$18-C78</f>
        <v>-89586065.131552875</v>
      </c>
      <c r="D86" s="232">
        <f>-Financiamiento!$B$18-D78</f>
        <v>-87284072.41361168</v>
      </c>
      <c r="E86" s="232">
        <f>-Financiamiento!$B$18-E78</f>
        <v>-84670850.280204803</v>
      </c>
      <c r="F86" s="232">
        <f>-Financiamiento!$B$18-F78</f>
        <v>-81704320.514361337</v>
      </c>
      <c r="G86" s="35"/>
    </row>
    <row r="87" spans="1:7" x14ac:dyDescent="0.25">
      <c r="A87" s="37" t="s">
        <v>221</v>
      </c>
      <c r="B87" s="231">
        <f>SUM(B83:B86)</f>
        <v>114849811.24133739</v>
      </c>
      <c r="C87" s="231">
        <f>SUM(C83:C86)</f>
        <v>172714235.75455445</v>
      </c>
      <c r="D87" s="231">
        <f>SUM(D83:D86)</f>
        <v>244843109.22750828</v>
      </c>
      <c r="E87" s="231">
        <f>SUM(E83:E86)</f>
        <v>334401498.29450548</v>
      </c>
      <c r="F87" s="231">
        <f>SUM(F83:F86)</f>
        <v>445232474.87624222</v>
      </c>
      <c r="G87" s="35"/>
    </row>
    <row r="89" spans="1:7" x14ac:dyDescent="0.25">
      <c r="A89" s="422" t="s">
        <v>79</v>
      </c>
      <c r="B89" s="423"/>
      <c r="C89" s="423"/>
      <c r="D89" s="423"/>
      <c r="E89" s="424"/>
    </row>
    <row r="90" spans="1:7" x14ac:dyDescent="0.25">
      <c r="A90" s="101" t="s">
        <v>80</v>
      </c>
      <c r="B90" s="425">
        <f>B31</f>
        <v>0.25719999999999998</v>
      </c>
      <c r="C90" s="426"/>
      <c r="D90" s="426"/>
      <c r="E90" s="427"/>
    </row>
    <row r="91" spans="1:7" x14ac:dyDescent="0.25">
      <c r="A91" s="101" t="s">
        <v>81</v>
      </c>
      <c r="B91" s="101" t="s">
        <v>20</v>
      </c>
      <c r="C91" s="101" t="s">
        <v>10</v>
      </c>
      <c r="D91" s="101" t="s">
        <v>21</v>
      </c>
      <c r="E91" s="101" t="s">
        <v>22</v>
      </c>
    </row>
    <row r="92" spans="1:7" x14ac:dyDescent="0.25">
      <c r="A92" s="77">
        <v>0</v>
      </c>
      <c r="B92" s="290">
        <f>-(Financiamiento!C9)</f>
        <v>-515163743</v>
      </c>
      <c r="C92" s="290">
        <f t="shared" ref="C92:C97" si="15">1/((1+$B$90)^A92)</f>
        <v>1</v>
      </c>
      <c r="D92" s="290">
        <f t="shared" ref="D92:D97" si="16">B92*C92</f>
        <v>-515163743</v>
      </c>
      <c r="E92" s="290">
        <f>D92</f>
        <v>-515163743</v>
      </c>
    </row>
    <row r="93" spans="1:7" x14ac:dyDescent="0.25">
      <c r="A93" s="77">
        <v>1</v>
      </c>
      <c r="B93" s="290">
        <f>B87</f>
        <v>114849811.24133739</v>
      </c>
      <c r="C93" s="290">
        <f t="shared" si="15"/>
        <v>0.79541839007317838</v>
      </c>
      <c r="D93" s="290">
        <f t="shared" si="16"/>
        <v>91353651.957793012</v>
      </c>
      <c r="E93" s="290">
        <f>E92+D93</f>
        <v>-423810091.042207</v>
      </c>
    </row>
    <row r="94" spans="1:7" x14ac:dyDescent="0.25">
      <c r="A94" s="77">
        <v>2</v>
      </c>
      <c r="B94" s="290">
        <f>C87</f>
        <v>172714235.75455445</v>
      </c>
      <c r="C94" s="290">
        <f t="shared" si="15"/>
        <v>0.63269041526660708</v>
      </c>
      <c r="D94" s="290">
        <f t="shared" si="16"/>
        <v>109274641.54200374</v>
      </c>
      <c r="E94" s="292">
        <f t="shared" ref="E94:E97" si="17">E93+D94</f>
        <v>-314535449.50020325</v>
      </c>
    </row>
    <row r="95" spans="1:7" x14ac:dyDescent="0.25">
      <c r="A95" s="77">
        <v>3</v>
      </c>
      <c r="B95" s="290">
        <f>D87</f>
        <v>244843109.22750828</v>
      </c>
      <c r="C95" s="290">
        <f t="shared" si="15"/>
        <v>0.50325359152609528</v>
      </c>
      <c r="D95" s="290">
        <f t="shared" si="16"/>
        <v>123218174.07915957</v>
      </c>
      <c r="E95" s="292">
        <f t="shared" si="17"/>
        <v>-191317275.42104369</v>
      </c>
    </row>
    <row r="96" spans="1:7" x14ac:dyDescent="0.25">
      <c r="A96" s="77">
        <v>4</v>
      </c>
      <c r="B96" s="290">
        <f>E87</f>
        <v>334401498.29450548</v>
      </c>
      <c r="C96" s="290">
        <f t="shared" si="15"/>
        <v>0.40029716157023165</v>
      </c>
      <c r="D96" s="290">
        <f t="shared" si="16"/>
        <v>133859970.59212321</v>
      </c>
      <c r="E96" s="292">
        <f t="shared" si="17"/>
        <v>-57457304.828920484</v>
      </c>
    </row>
    <row r="97" spans="1:5" x14ac:dyDescent="0.25">
      <c r="A97" s="77">
        <v>5</v>
      </c>
      <c r="B97" s="290">
        <f>F87</f>
        <v>445232474.87624222</v>
      </c>
      <c r="C97" s="290">
        <f t="shared" si="15"/>
        <v>0.31840372380705667</v>
      </c>
      <c r="D97" s="290">
        <f t="shared" si="16"/>
        <v>141763677.96042731</v>
      </c>
      <c r="E97" s="293">
        <f t="shared" si="17"/>
        <v>84306373.13150683</v>
      </c>
    </row>
    <row r="98" spans="1:5" x14ac:dyDescent="0.25">
      <c r="A98" s="411" t="s">
        <v>6</v>
      </c>
      <c r="B98" s="412"/>
      <c r="C98" s="413"/>
      <c r="D98" s="291">
        <f>SUM(D92:D97)</f>
        <v>84306373.13150683</v>
      </c>
      <c r="E98" s="41"/>
    </row>
    <row r="100" spans="1:5" x14ac:dyDescent="0.25">
      <c r="A100" s="414" t="s">
        <v>11</v>
      </c>
      <c r="B100" s="414"/>
    </row>
    <row r="101" spans="1:5" x14ac:dyDescent="0.25">
      <c r="A101" s="101" t="s">
        <v>81</v>
      </c>
      <c r="B101" s="101" t="s">
        <v>20</v>
      </c>
    </row>
    <row r="102" spans="1:5" x14ac:dyDescent="0.25">
      <c r="A102" s="77">
        <v>0</v>
      </c>
      <c r="B102" s="290">
        <f>B92</f>
        <v>-515163743</v>
      </c>
    </row>
    <row r="103" spans="1:5" x14ac:dyDescent="0.25">
      <c r="A103" s="77">
        <v>1</v>
      </c>
      <c r="B103" s="290">
        <f t="shared" ref="B103" si="18">B93</f>
        <v>114849811.24133739</v>
      </c>
    </row>
    <row r="104" spans="1:5" x14ac:dyDescent="0.25">
      <c r="A104" s="77">
        <v>2</v>
      </c>
      <c r="B104" s="290">
        <f>B94</f>
        <v>172714235.75455445</v>
      </c>
    </row>
    <row r="105" spans="1:5" x14ac:dyDescent="0.25">
      <c r="A105" s="77">
        <v>3</v>
      </c>
      <c r="B105" s="290">
        <f>B95</f>
        <v>244843109.22750828</v>
      </c>
    </row>
    <row r="106" spans="1:5" x14ac:dyDescent="0.25">
      <c r="A106" s="77">
        <v>4</v>
      </c>
      <c r="B106" s="290">
        <f>B96</f>
        <v>334401498.29450548</v>
      </c>
    </row>
    <row r="107" spans="1:5" x14ac:dyDescent="0.25">
      <c r="A107" s="77">
        <v>5</v>
      </c>
      <c r="B107" s="290">
        <f>B97</f>
        <v>445232474.87624222</v>
      </c>
    </row>
    <row r="108" spans="1:5" x14ac:dyDescent="0.25">
      <c r="A108" s="99" t="s">
        <v>11</v>
      </c>
      <c r="B108" s="296">
        <f>IRR(B102:B107,12)</f>
        <v>0.31890603262627426</v>
      </c>
    </row>
    <row r="110" spans="1:5" x14ac:dyDescent="0.25">
      <c r="A110" s="414" t="s">
        <v>82</v>
      </c>
      <c r="B110" s="414"/>
    </row>
    <row r="111" spans="1:5" x14ac:dyDescent="0.25">
      <c r="A111" s="38" t="s">
        <v>90</v>
      </c>
      <c r="B111" s="46">
        <v>4</v>
      </c>
    </row>
    <row r="112" spans="1:5" x14ac:dyDescent="0.25">
      <c r="A112" s="38" t="s">
        <v>91</v>
      </c>
      <c r="B112" s="46" t="e">
        <f>#REF!</f>
        <v>#REF!</v>
      </c>
    </row>
    <row r="113" spans="1:6" x14ac:dyDescent="0.25">
      <c r="A113" s="38" t="s">
        <v>92</v>
      </c>
      <c r="B113" s="46">
        <f>SUM(D93:D95)</f>
        <v>323846467.57895631</v>
      </c>
    </row>
    <row r="114" spans="1:6" x14ac:dyDescent="0.25">
      <c r="A114" s="38" t="s">
        <v>93</v>
      </c>
      <c r="B114" s="46">
        <f>D96</f>
        <v>133859970.59212321</v>
      </c>
    </row>
    <row r="115" spans="1:6" x14ac:dyDescent="0.25">
      <c r="A115" s="38" t="s">
        <v>94</v>
      </c>
      <c r="B115" s="46" t="e">
        <f>B111+((B112-B113)/B114)</f>
        <v>#REF!</v>
      </c>
    </row>
    <row r="119" spans="1:6" x14ac:dyDescent="0.25">
      <c r="A119" s="428" t="s">
        <v>51</v>
      </c>
      <c r="B119" s="429"/>
      <c r="C119" s="429"/>
      <c r="D119" s="429"/>
      <c r="E119" s="429"/>
      <c r="F119" s="429"/>
    </row>
    <row r="120" spans="1:6" x14ac:dyDescent="0.25">
      <c r="A120" s="105" t="s">
        <v>47</v>
      </c>
      <c r="B120" s="105" t="s">
        <v>78</v>
      </c>
      <c r="C120" s="105" t="s">
        <v>36</v>
      </c>
      <c r="D120" s="105" t="s">
        <v>38</v>
      </c>
      <c r="E120" s="105" t="s">
        <v>39</v>
      </c>
      <c r="F120" s="105" t="s">
        <v>40</v>
      </c>
    </row>
    <row r="121" spans="1:6" x14ac:dyDescent="0.25">
      <c r="A121" s="38" t="s">
        <v>161</v>
      </c>
      <c r="B121" s="230"/>
      <c r="C121" s="230"/>
      <c r="D121" s="230"/>
      <c r="E121" s="230"/>
      <c r="F121" s="230"/>
    </row>
    <row r="122" spans="1:6" x14ac:dyDescent="0.25">
      <c r="A122" s="38" t="s">
        <v>207</v>
      </c>
      <c r="B122" s="232">
        <f>'Balance PyG'!B55</f>
        <v>1501780698.45</v>
      </c>
      <c r="C122" s="232">
        <f>'Balance PyG'!C55</f>
        <v>1715327906.646796</v>
      </c>
      <c r="D122" s="232">
        <f>'Balance PyG'!D55</f>
        <v>1959240673.6603436</v>
      </c>
      <c r="E122" s="232">
        <f>'Balance PyG'!E55</f>
        <v>2237836860.4921498</v>
      </c>
      <c r="F122" s="232">
        <f>'Balance PyG'!F55</f>
        <v>2556048310.7066917</v>
      </c>
    </row>
    <row r="123" spans="1:6" x14ac:dyDescent="0.25">
      <c r="A123" s="38" t="s">
        <v>208</v>
      </c>
      <c r="B123" s="232">
        <f>'Balance PyG'!B57</f>
        <v>1001187132.0333333</v>
      </c>
      <c r="C123" s="232">
        <f>'Balance PyG'!C57</f>
        <v>1143551937.459945</v>
      </c>
      <c r="D123" s="232">
        <f>'Balance PyG'!D57</f>
        <v>1306160448.7589993</v>
      </c>
      <c r="E123" s="232">
        <f>'Balance PyG'!E57</f>
        <v>1491891239.9307339</v>
      </c>
      <c r="F123" s="232">
        <f>'Balance PyG'!F57</f>
        <v>1704032206.6839244</v>
      </c>
    </row>
    <row r="124" spans="1:6" x14ac:dyDescent="0.25">
      <c r="A124" s="38" t="s">
        <v>209</v>
      </c>
      <c r="B124" s="231">
        <f>B122-B123</f>
        <v>500593566.41666675</v>
      </c>
      <c r="C124" s="231">
        <f t="shared" ref="C124:F124" si="19">C122-C123</f>
        <v>571775969.18685102</v>
      </c>
      <c r="D124" s="231">
        <f t="shared" si="19"/>
        <v>653080224.9013443</v>
      </c>
      <c r="E124" s="231">
        <f t="shared" si="19"/>
        <v>745945620.56141591</v>
      </c>
      <c r="F124" s="231">
        <f t="shared" si="19"/>
        <v>852016104.02276731</v>
      </c>
    </row>
    <row r="125" spans="1:6" x14ac:dyDescent="0.25">
      <c r="A125" s="38" t="s">
        <v>162</v>
      </c>
      <c r="B125" s="231"/>
      <c r="C125" s="231"/>
      <c r="D125" s="231"/>
      <c r="E125" s="231"/>
      <c r="F125" s="231"/>
    </row>
    <row r="126" spans="1:6" x14ac:dyDescent="0.25">
      <c r="A126" s="38" t="s">
        <v>201</v>
      </c>
      <c r="B126" s="232">
        <f>'Balance PyG'!B58</f>
        <v>147000000</v>
      </c>
      <c r="C126" s="232">
        <f>'Balance PyG'!C58</f>
        <v>161802900</v>
      </c>
      <c r="D126" s="232">
        <f>'Balance PyG'!D58</f>
        <v>178096452.24000001</v>
      </c>
      <c r="E126" s="232">
        <f>'Balance PyG'!E58</f>
        <v>196030765.19999999</v>
      </c>
      <c r="F126" s="232">
        <f>'Balance PyG'!F58</f>
        <v>215771063.16</v>
      </c>
    </row>
    <row r="127" spans="1:6" x14ac:dyDescent="0.25">
      <c r="A127" s="38" t="s">
        <v>83</v>
      </c>
      <c r="B127" s="232">
        <f>'Balance PyG'!B59</f>
        <v>43680000</v>
      </c>
      <c r="C127" s="232">
        <f>'Balance PyG'!C59</f>
        <v>51904943.999999993</v>
      </c>
      <c r="D127" s="232">
        <f>'Balance PyG'!D59</f>
        <v>61678644.955199987</v>
      </c>
      <c r="E127" s="232">
        <f>'Balance PyG'!E59</f>
        <v>73292733.800264135</v>
      </c>
      <c r="F127" s="232">
        <f>'Balance PyG'!F59</f>
        <v>87093755.574853867</v>
      </c>
    </row>
    <row r="128" spans="1:6" x14ac:dyDescent="0.25">
      <c r="A128" s="38" t="s">
        <v>19</v>
      </c>
      <c r="B128" s="232">
        <f>'Balance PyG'!B60</f>
        <v>72242400</v>
      </c>
      <c r="C128" s="232">
        <f>'Balance PyG'!C60</f>
        <v>85845643.919999987</v>
      </c>
      <c r="D128" s="232">
        <f>'Balance PyG'!D60</f>
        <v>102010378.67013597</v>
      </c>
      <c r="E128" s="232">
        <f>'Balance PyG'!E60</f>
        <v>121218932.97372258</v>
      </c>
      <c r="F128" s="232">
        <f>'Balance PyG'!F60</f>
        <v>144044458.05267453</v>
      </c>
    </row>
    <row r="129" spans="1:7" x14ac:dyDescent="0.25">
      <c r="A129" s="38" t="s">
        <v>4</v>
      </c>
      <c r="B129" s="232">
        <f>'Balance PyG'!B61</f>
        <v>7945440</v>
      </c>
      <c r="C129" s="232">
        <f>'Balance PyG'!C61</f>
        <v>9441566.352</v>
      </c>
      <c r="D129" s="232">
        <f>'Balance PyG'!D61</f>
        <v>11219413.296081599</v>
      </c>
      <c r="E129" s="232">
        <f>'Balance PyG'!E61</f>
        <v>13332028.819733763</v>
      </c>
      <c r="F129" s="232">
        <f>'Balance PyG'!F61</f>
        <v>15842449.846489629</v>
      </c>
    </row>
    <row r="130" spans="1:7" x14ac:dyDescent="0.25">
      <c r="A130" s="38" t="s">
        <v>202</v>
      </c>
      <c r="B130" s="232">
        <f>'Balance PyG'!B62</f>
        <v>13308348</v>
      </c>
      <c r="C130" s="232">
        <f>'Balance PyG'!C62</f>
        <v>15814309.928399999</v>
      </c>
      <c r="D130" s="232">
        <f>'Balance PyG'!D62</f>
        <v>18792144.487917718</v>
      </c>
      <c r="E130" s="232">
        <f>'Balance PyG'!E62</f>
        <v>22330705.294992622</v>
      </c>
      <c r="F130" s="232">
        <f>'Balance PyG'!F62</f>
        <v>26535577.102039732</v>
      </c>
    </row>
    <row r="131" spans="1:7" x14ac:dyDescent="0.25">
      <c r="A131" s="38" t="s">
        <v>5</v>
      </c>
      <c r="B131" s="232">
        <f>'Balance PyG'!B63</f>
        <v>4131600</v>
      </c>
      <c r="C131" s="232">
        <f>'Balance PyG'!C63</f>
        <v>4909580.2799999993</v>
      </c>
      <c r="D131" s="232">
        <f>'Balance PyG'!D63</f>
        <v>5834054.2467239983</v>
      </c>
      <c r="E131" s="232">
        <f>'Balance PyG'!E63</f>
        <v>6932606.6613821266</v>
      </c>
      <c r="F131" s="232">
        <f>'Balance PyG'!F63</f>
        <v>8238016.4957203809</v>
      </c>
    </row>
    <row r="132" spans="1:7" x14ac:dyDescent="0.25">
      <c r="A132" s="38" t="s">
        <v>62</v>
      </c>
      <c r="B132" s="232">
        <f>'Balance PyG'!B64</f>
        <v>17828760</v>
      </c>
      <c r="C132" s="232">
        <f>'Balance PyG'!C64</f>
        <v>21185915.507999998</v>
      </c>
      <c r="D132" s="232">
        <f>'Balance PyG'!D64</f>
        <v>25175223.398156397</v>
      </c>
      <c r="E132" s="232">
        <f>'Balance PyG'!E64</f>
        <v>29915717.964029245</v>
      </c>
      <c r="F132" s="232">
        <f>'Balance PyG'!F64</f>
        <v>35548847.656655952</v>
      </c>
    </row>
    <row r="133" spans="1:7" x14ac:dyDescent="0.25">
      <c r="A133" s="38" t="s">
        <v>211</v>
      </c>
      <c r="B133" s="231">
        <f>SUM(B126:B132)</f>
        <v>306136548</v>
      </c>
      <c r="C133" s="231">
        <f t="shared" ref="C133:F133" si="20">SUM(C126:C132)</f>
        <v>350904859.98839992</v>
      </c>
      <c r="D133" s="231">
        <f t="shared" si="20"/>
        <v>402806311.29421568</v>
      </c>
      <c r="E133" s="231">
        <f t="shared" si="20"/>
        <v>463053490.71412444</v>
      </c>
      <c r="F133" s="231">
        <f t="shared" si="20"/>
        <v>533074167.88843411</v>
      </c>
    </row>
    <row r="134" spans="1:7" x14ac:dyDescent="0.25">
      <c r="A134" s="38" t="s">
        <v>210</v>
      </c>
      <c r="B134" s="231">
        <f>B124-B133</f>
        <v>194457018.41666675</v>
      </c>
      <c r="C134" s="231">
        <f t="shared" ref="C134:F134" si="21">C124-C133</f>
        <v>220871109.1984511</v>
      </c>
      <c r="D134" s="231">
        <f t="shared" si="21"/>
        <v>250273913.60712862</v>
      </c>
      <c r="E134" s="231">
        <f t="shared" si="21"/>
        <v>282892129.84729147</v>
      </c>
      <c r="F134" s="231">
        <f t="shared" si="21"/>
        <v>318941936.13433319</v>
      </c>
    </row>
    <row r="135" spans="1:7" x14ac:dyDescent="0.25">
      <c r="A135" s="38" t="s">
        <v>215</v>
      </c>
      <c r="B135" s="232">
        <f>B134*15%</f>
        <v>29168552.76250001</v>
      </c>
      <c r="C135" s="232">
        <f t="shared" ref="C135:F135" si="22">C134*15%</f>
        <v>33130666.379767664</v>
      </c>
      <c r="D135" s="232">
        <f t="shared" si="22"/>
        <v>37541087.041069292</v>
      </c>
      <c r="E135" s="232">
        <f t="shared" si="22"/>
        <v>42433819.477093719</v>
      </c>
      <c r="F135" s="232">
        <f t="shared" si="22"/>
        <v>47841290.420149975</v>
      </c>
    </row>
    <row r="136" spans="1:7" x14ac:dyDescent="0.25">
      <c r="A136" s="38" t="s">
        <v>213</v>
      </c>
      <c r="B136" s="232">
        <f>'Balance PyG'!B68</f>
        <v>38307575.976799995</v>
      </c>
      <c r="C136" s="232">
        <f>'Balance PyG'!C68</f>
        <v>36279745.886999771</v>
      </c>
      <c r="D136" s="232">
        <f>'Balance PyG'!D68</f>
        <v>33977753.169058561</v>
      </c>
      <c r="E136" s="232">
        <f>'Balance PyG'!E68</f>
        <v>31364531.035651699</v>
      </c>
      <c r="F136" s="232">
        <f>'Balance PyG'!F68</f>
        <v>28398001.269808229</v>
      </c>
    </row>
    <row r="137" spans="1:7" x14ac:dyDescent="0.25">
      <c r="A137" s="38" t="s">
        <v>212</v>
      </c>
      <c r="B137" s="232">
        <f>'Balance PyG'!B70+'Balance PyG'!B71</f>
        <v>41018869.733333334</v>
      </c>
      <c r="C137" s="232">
        <f>'Balance PyG'!C70+'Balance PyG'!C71</f>
        <v>41018869.733333334</v>
      </c>
      <c r="D137" s="232">
        <f>'Balance PyG'!D70+'Balance PyG'!D71</f>
        <v>41018869.733333334</v>
      </c>
      <c r="E137" s="232">
        <f>'Balance PyG'!E70+'Balance PyG'!E71</f>
        <v>41018869.733333334</v>
      </c>
      <c r="F137" s="232">
        <f>'Balance PyG'!F70+'Balance PyG'!F71</f>
        <v>41018869.733333334</v>
      </c>
    </row>
    <row r="138" spans="1:7" x14ac:dyDescent="0.25">
      <c r="A138" s="38" t="s">
        <v>214</v>
      </c>
      <c r="B138" s="232">
        <f>'Balance PyG'!B74</f>
        <v>21490504.986008354</v>
      </c>
      <c r="C138" s="232">
        <f>'Balance PyG'!C74</f>
        <v>27610456.799587566</v>
      </c>
      <c r="D138" s="232">
        <f>'Balance PyG'!D74</f>
        <v>34434050.915916905</v>
      </c>
      <c r="E138" s="232">
        <f>'Balance PyG'!E74</f>
        <v>42018727.400303081</v>
      </c>
      <c r="F138" s="232">
        <f>'Balance PyG'!F74</f>
        <v>50420943.677760497</v>
      </c>
    </row>
    <row r="139" spans="1:7" x14ac:dyDescent="0.25">
      <c r="A139" s="234" t="s">
        <v>216</v>
      </c>
      <c r="B139" s="233">
        <f>B134-(B135+B136+B137+B138)</f>
        <v>64471514.958025038</v>
      </c>
      <c r="C139" s="233">
        <f t="shared" ref="C139:F139" si="23">C134-(C135+C136+C137+C138)</f>
        <v>82831370.398762763</v>
      </c>
      <c r="D139" s="233">
        <f t="shared" si="23"/>
        <v>103302152.74775052</v>
      </c>
      <c r="E139" s="233">
        <f t="shared" si="23"/>
        <v>126056182.20090964</v>
      </c>
      <c r="F139" s="233">
        <f t="shared" si="23"/>
        <v>151262831.03328115</v>
      </c>
    </row>
    <row r="140" spans="1:7" x14ac:dyDescent="0.25">
      <c r="C140" s="41"/>
      <c r="D140" s="35"/>
      <c r="E140" s="35"/>
      <c r="F140" s="35"/>
      <c r="G140" s="35"/>
    </row>
    <row r="141" spans="1:7" x14ac:dyDescent="0.25">
      <c r="A141" s="38" t="s">
        <v>220</v>
      </c>
      <c r="B141" s="232">
        <f>FC!B134</f>
        <v>194457018.41666675</v>
      </c>
      <c r="C141" s="232">
        <f>FC!C134</f>
        <v>220871109.1984511</v>
      </c>
      <c r="D141" s="232">
        <f>FC!D134</f>
        <v>250273913.60712862</v>
      </c>
      <c r="E141" s="232">
        <f>FC!E134</f>
        <v>282892129.84729147</v>
      </c>
      <c r="F141" s="232">
        <f>FC!F134</f>
        <v>318941936.13433319</v>
      </c>
      <c r="G141" s="35"/>
    </row>
    <row r="142" spans="1:7" x14ac:dyDescent="0.25">
      <c r="A142" s="38" t="s">
        <v>219</v>
      </c>
      <c r="B142" s="232">
        <f>B137</f>
        <v>41018869.733333334</v>
      </c>
      <c r="C142" s="232">
        <f>C137</f>
        <v>41018869.733333334</v>
      </c>
      <c r="D142" s="232">
        <f>D137</f>
        <v>41018869.733333334</v>
      </c>
      <c r="E142" s="232">
        <f>E137</f>
        <v>41018869.733333334</v>
      </c>
      <c r="F142" s="232">
        <f>F137</f>
        <v>41018869.733333334</v>
      </c>
      <c r="G142" s="35"/>
    </row>
    <row r="143" spans="1:7" x14ac:dyDescent="0.25">
      <c r="A143" s="38" t="s">
        <v>217</v>
      </c>
      <c r="B143" s="232">
        <f>-B139*Financiamiento!$D$10</f>
        <v>-29012181.6873096</v>
      </c>
      <c r="C143" s="232">
        <f>-C139*Financiamiento!$D$10</f>
        <v>-37274116.623167969</v>
      </c>
      <c r="D143" s="232">
        <f>-D139*Financiamiento!$D$10</f>
        <v>-46485968.6663047</v>
      </c>
      <c r="E143" s="232">
        <f>-E139*Financiamiento!$D$10</f>
        <v>-56725281.90476732</v>
      </c>
      <c r="F143" s="232">
        <f>-F139*Financiamiento!$D$10</f>
        <v>-68068273.862209216</v>
      </c>
      <c r="G143" s="35"/>
    </row>
    <row r="144" spans="1:7" x14ac:dyDescent="0.25">
      <c r="A144" s="38" t="s">
        <v>218</v>
      </c>
      <c r="B144" s="232">
        <f>-Financiamiento!$B$18-B136</f>
        <v>-91613895.221353114</v>
      </c>
      <c r="C144" s="232">
        <f>-Financiamiento!$B$18-C136</f>
        <v>-89586065.131552875</v>
      </c>
      <c r="D144" s="232">
        <f>-Financiamiento!$B$18-D136</f>
        <v>-87284072.41361168</v>
      </c>
      <c r="E144" s="232">
        <f>-Financiamiento!$B$18-E136</f>
        <v>-84670850.280204803</v>
      </c>
      <c r="F144" s="232">
        <f>-Financiamiento!$B$18-F136</f>
        <v>-81704320.514361337</v>
      </c>
      <c r="G144" s="35"/>
    </row>
    <row r="145" spans="1:7" x14ac:dyDescent="0.25">
      <c r="A145" s="37" t="s">
        <v>221</v>
      </c>
      <c r="B145" s="231">
        <f>SUM(B141:B144)</f>
        <v>114849811.24133739</v>
      </c>
      <c r="C145" s="231">
        <f>SUM(C141:C144)</f>
        <v>135029797.17706361</v>
      </c>
      <c r="D145" s="231">
        <f>SUM(D141:D144)</f>
        <v>157522742.26054558</v>
      </c>
      <c r="E145" s="231">
        <f>SUM(E141:E144)</f>
        <v>182514867.39565268</v>
      </c>
      <c r="F145" s="231">
        <f>SUM(F141:F144)</f>
        <v>210188211.49109602</v>
      </c>
      <c r="G145" s="35"/>
    </row>
    <row r="147" spans="1:7" x14ac:dyDescent="0.25">
      <c r="A147" s="417" t="s">
        <v>79</v>
      </c>
      <c r="B147" s="417"/>
      <c r="C147" s="417"/>
      <c r="D147" s="417"/>
      <c r="E147" s="417"/>
    </row>
    <row r="148" spans="1:7" x14ac:dyDescent="0.25">
      <c r="A148" s="106" t="s">
        <v>80</v>
      </c>
      <c r="B148" s="416">
        <f>B31</f>
        <v>0.25719999999999998</v>
      </c>
      <c r="C148" s="416"/>
      <c r="D148" s="416"/>
      <c r="E148" s="416"/>
    </row>
    <row r="149" spans="1:7" x14ac:dyDescent="0.25">
      <c r="A149" s="106" t="s">
        <v>81</v>
      </c>
      <c r="B149" s="106" t="s">
        <v>20</v>
      </c>
      <c r="C149" s="106" t="s">
        <v>10</v>
      </c>
      <c r="D149" s="106" t="s">
        <v>21</v>
      </c>
      <c r="E149" s="106" t="s">
        <v>22</v>
      </c>
    </row>
    <row r="150" spans="1:7" x14ac:dyDescent="0.25">
      <c r="A150" s="294">
        <v>0</v>
      </c>
      <c r="B150" s="290">
        <f>-(Financiamiento!C9)</f>
        <v>-515163743</v>
      </c>
      <c r="C150" s="290">
        <f t="shared" ref="C150:C155" si="24">1/((1+$B$31)^A150)</f>
        <v>1</v>
      </c>
      <c r="D150" s="290">
        <f t="shared" ref="D150:D155" si="25">B150*C150</f>
        <v>-515163743</v>
      </c>
      <c r="E150" s="290">
        <f>D150</f>
        <v>-515163743</v>
      </c>
    </row>
    <row r="151" spans="1:7" x14ac:dyDescent="0.25">
      <c r="A151" s="294">
        <v>1</v>
      </c>
      <c r="B151" s="290">
        <f>B145</f>
        <v>114849811.24133739</v>
      </c>
      <c r="C151" s="290">
        <f t="shared" si="24"/>
        <v>0.79541839007317838</v>
      </c>
      <c r="D151" s="290">
        <f t="shared" si="25"/>
        <v>91353651.957793012</v>
      </c>
      <c r="E151" s="290">
        <f>E150+D151</f>
        <v>-423810091.042207</v>
      </c>
    </row>
    <row r="152" spans="1:7" x14ac:dyDescent="0.25">
      <c r="A152" s="294">
        <v>2</v>
      </c>
      <c r="B152" s="290">
        <f>C145</f>
        <v>135029797.17706361</v>
      </c>
      <c r="C152" s="290">
        <f t="shared" si="24"/>
        <v>0.63269041526660708</v>
      </c>
      <c r="D152" s="290">
        <f t="shared" si="25"/>
        <v>85432058.449322104</v>
      </c>
      <c r="E152" s="292">
        <f t="shared" ref="E152:E155" si="26">E151+D152</f>
        <v>-338378032.5928849</v>
      </c>
    </row>
    <row r="153" spans="1:7" x14ac:dyDescent="0.25">
      <c r="A153" s="294">
        <v>3</v>
      </c>
      <c r="B153" s="290">
        <f>D145</f>
        <v>157522742.26054558</v>
      </c>
      <c r="C153" s="290">
        <f t="shared" si="24"/>
        <v>0.50325359152609528</v>
      </c>
      <c r="D153" s="290">
        <f t="shared" si="25"/>
        <v>79273885.789658993</v>
      </c>
      <c r="E153" s="292">
        <f t="shared" si="26"/>
        <v>-259104146.8032259</v>
      </c>
    </row>
    <row r="154" spans="1:7" x14ac:dyDescent="0.25">
      <c r="A154" s="294">
        <v>4</v>
      </c>
      <c r="B154" s="290">
        <f>E145</f>
        <v>182514867.39565268</v>
      </c>
      <c r="C154" s="290">
        <f t="shared" si="24"/>
        <v>0.40029716157023165</v>
      </c>
      <c r="D154" s="290">
        <f t="shared" si="25"/>
        <v>73060183.362846985</v>
      </c>
      <c r="E154" s="292">
        <f t="shared" si="26"/>
        <v>-186043963.4403789</v>
      </c>
    </row>
    <row r="155" spans="1:7" x14ac:dyDescent="0.25">
      <c r="A155" s="294">
        <v>5</v>
      </c>
      <c r="B155" s="290">
        <f>F145</f>
        <v>210188211.49109602</v>
      </c>
      <c r="C155" s="290">
        <f t="shared" si="24"/>
        <v>0.31840372380705667</v>
      </c>
      <c r="D155" s="290">
        <f t="shared" si="25"/>
        <v>66924709.239110149</v>
      </c>
      <c r="E155" s="293">
        <f t="shared" si="26"/>
        <v>-119119254.20126876</v>
      </c>
    </row>
    <row r="156" spans="1:7" x14ac:dyDescent="0.25">
      <c r="A156" s="430" t="s">
        <v>6</v>
      </c>
      <c r="B156" s="431"/>
      <c r="C156" s="432"/>
      <c r="D156" s="291">
        <f>SUM(D150:D155)</f>
        <v>-119119254.20126876</v>
      </c>
      <c r="E156" s="295"/>
    </row>
    <row r="158" spans="1:7" x14ac:dyDescent="0.25">
      <c r="A158" s="417" t="s">
        <v>11</v>
      </c>
      <c r="B158" s="417"/>
    </row>
    <row r="159" spans="1:7" x14ac:dyDescent="0.25">
      <c r="A159" s="106" t="s">
        <v>81</v>
      </c>
      <c r="B159" s="106" t="s">
        <v>20</v>
      </c>
    </row>
    <row r="160" spans="1:7" x14ac:dyDescent="0.25">
      <c r="A160" s="77">
        <v>0</v>
      </c>
      <c r="B160" s="290">
        <f>B150</f>
        <v>-515163743</v>
      </c>
    </row>
    <row r="161" spans="1:2" x14ac:dyDescent="0.25">
      <c r="A161" s="77">
        <v>1</v>
      </c>
      <c r="B161" s="290">
        <f t="shared" ref="B161:B165" si="27">B151</f>
        <v>114849811.24133739</v>
      </c>
    </row>
    <row r="162" spans="1:2" x14ac:dyDescent="0.25">
      <c r="A162" s="77">
        <v>2</v>
      </c>
      <c r="B162" s="290">
        <f t="shared" si="27"/>
        <v>135029797.17706361</v>
      </c>
    </row>
    <row r="163" spans="1:2" x14ac:dyDescent="0.25">
      <c r="A163" s="77">
        <v>3</v>
      </c>
      <c r="B163" s="290">
        <f t="shared" si="27"/>
        <v>157522742.26054558</v>
      </c>
    </row>
    <row r="164" spans="1:2" x14ac:dyDescent="0.25">
      <c r="A164" s="77">
        <v>4</v>
      </c>
      <c r="B164" s="290">
        <f t="shared" si="27"/>
        <v>182514867.39565268</v>
      </c>
    </row>
    <row r="165" spans="1:2" x14ac:dyDescent="0.25">
      <c r="A165" s="77">
        <v>5</v>
      </c>
      <c r="B165" s="290">
        <f t="shared" si="27"/>
        <v>210188211.49109602</v>
      </c>
    </row>
    <row r="166" spans="1:2" x14ac:dyDescent="0.25">
      <c r="A166" s="99" t="s">
        <v>11</v>
      </c>
      <c r="B166" s="100">
        <f>IRR(B160:B165,12)</f>
        <v>0.1494351598264092</v>
      </c>
    </row>
    <row r="168" spans="1:2" x14ac:dyDescent="0.25">
      <c r="A168" s="417" t="s">
        <v>82</v>
      </c>
      <c r="B168" s="417"/>
    </row>
    <row r="169" spans="1:2" x14ac:dyDescent="0.25">
      <c r="A169" s="38" t="s">
        <v>90</v>
      </c>
      <c r="B169" s="46">
        <v>5</v>
      </c>
    </row>
    <row r="170" spans="1:2" x14ac:dyDescent="0.25">
      <c r="A170" s="38" t="s">
        <v>91</v>
      </c>
      <c r="B170" s="46" t="e">
        <f>#REF!</f>
        <v>#REF!</v>
      </c>
    </row>
    <row r="171" spans="1:2" x14ac:dyDescent="0.25">
      <c r="A171" s="38" t="s">
        <v>92</v>
      </c>
      <c r="B171" s="46">
        <f>SUM(D151:D155)</f>
        <v>396044488.79873127</v>
      </c>
    </row>
    <row r="172" spans="1:2" x14ac:dyDescent="0.25">
      <c r="A172" s="38" t="s">
        <v>93</v>
      </c>
      <c r="B172" s="46">
        <f>D155</f>
        <v>66924709.239110149</v>
      </c>
    </row>
    <row r="173" spans="1:2" x14ac:dyDescent="0.25">
      <c r="A173" s="38" t="s">
        <v>94</v>
      </c>
      <c r="B173" s="46" t="e">
        <f>B169+((B170-B171)/B172)</f>
        <v>#REF!</v>
      </c>
    </row>
  </sheetData>
  <mergeCells count="20">
    <mergeCell ref="A30:E30"/>
    <mergeCell ref="A51:B51"/>
    <mergeCell ref="A168:B168"/>
    <mergeCell ref="A1:F1"/>
    <mergeCell ref="A158:B158"/>
    <mergeCell ref="A39:C39"/>
    <mergeCell ref="A89:E89"/>
    <mergeCell ref="B90:E90"/>
    <mergeCell ref="A147:E147"/>
    <mergeCell ref="B148:E148"/>
    <mergeCell ref="A110:B110"/>
    <mergeCell ref="A119:F119"/>
    <mergeCell ref="A156:C156"/>
    <mergeCell ref="A2:F2"/>
    <mergeCell ref="H31:I31"/>
    <mergeCell ref="A61:F61"/>
    <mergeCell ref="A98:C98"/>
    <mergeCell ref="A100:B100"/>
    <mergeCell ref="A41:B41"/>
    <mergeCell ref="B31:E31"/>
  </mergeCells>
  <phoneticPr fontId="2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Inversiones</vt:lpstr>
      <vt:lpstr>Capital de Trabajo</vt:lpstr>
      <vt:lpstr>Financiamiento</vt:lpstr>
      <vt:lpstr>Dep. y amort. </vt:lpstr>
      <vt:lpstr>Ingresos</vt:lpstr>
      <vt:lpstr>Sueldos</vt:lpstr>
      <vt:lpstr>Costos y Gastos</vt:lpstr>
      <vt:lpstr>Balance PyG</vt:lpstr>
      <vt:lpstr>FC</vt:lpstr>
    </vt:vector>
  </TitlesOfParts>
  <Company>PROCODE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ANDRES OLARTE</cp:lastModifiedBy>
  <dcterms:created xsi:type="dcterms:W3CDTF">2012-02-08T16:27:02Z</dcterms:created>
  <dcterms:modified xsi:type="dcterms:W3CDTF">2023-01-17T23:18:37Z</dcterms:modified>
</cp:coreProperties>
</file>