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5.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Yolet\Downloads\LIBRO FINAL\Apéndices Yolet Vargas y Luisa Paredes\"/>
    </mc:Choice>
  </mc:AlternateContent>
  <xr:revisionPtr revIDLastSave="0" documentId="13_ncr:1_{E57B6E0C-9FA9-4470-9ED6-FA1A522AE2FE}" xr6:coauthVersionLast="47" xr6:coauthVersionMax="47" xr10:uidLastSave="{00000000-0000-0000-0000-000000000000}"/>
  <bookViews>
    <workbookView xWindow="-120" yWindow="-120" windowWidth="20730" windowHeight="11040" tabRatio="672" firstSheet="2" activeTab="5" xr2:uid="{198D7924-56BF-4602-A770-C1FFC8A3A9F5}"/>
  </bookViews>
  <sheets>
    <sheet name="Inversión" sheetId="1" r:id="rId1"/>
    <sheet name="Presupuesto" sheetId="4" r:id="rId2"/>
    <sheet name="Prom Est." sheetId="3" r:id="rId3"/>
    <sheet name="P.E" sheetId="5" r:id="rId4"/>
    <sheet name="P.E Gráfico" sheetId="7" r:id="rId5"/>
    <sheet name="Proyección - TIR" sheetId="6" r:id="rId6"/>
    <sheet name="Proyección inflacion" sheetId="8" r:id="rId7"/>
    <sheet name="Escenarios ventas" sheetId="9" r:id="rId8"/>
  </sheets>
  <definedNames>
    <definedName name="solver_adj" localSheetId="3" hidden="1">P.E!$D$19</definedName>
    <definedName name="solver_adj" localSheetId="1" hidden="1">Presupuesto!#REF!</definedName>
    <definedName name="solver_cvg" localSheetId="3" hidden="1">"""""""""""""""0.0001"""""""""""""""</definedName>
    <definedName name="solver_cvg" localSheetId="1" hidden="1">"0.0001"</definedName>
    <definedName name="solver_drv" localSheetId="3" hidden="1">2</definedName>
    <definedName name="solver_drv" localSheetId="1" hidden="1">1</definedName>
    <definedName name="solver_eng" localSheetId="3" hidden="1">1</definedName>
    <definedName name="solver_eng" localSheetId="1" hidden="1">1</definedName>
    <definedName name="solver_est" localSheetId="3" hidden="1">1</definedName>
    <definedName name="solver_est" localSheetId="1" hidden="1">1</definedName>
    <definedName name="solver_itr" localSheetId="3" hidden="1">2147483647</definedName>
    <definedName name="solver_itr" localSheetId="1" hidden="1">2147483647</definedName>
    <definedName name="solver_mip" localSheetId="3" hidden="1">2147483647</definedName>
    <definedName name="solver_mip" localSheetId="1" hidden="1">2147483647</definedName>
    <definedName name="solver_mni" localSheetId="3" hidden="1">30</definedName>
    <definedName name="solver_mni" localSheetId="1" hidden="1">30</definedName>
    <definedName name="solver_mrt" localSheetId="3" hidden="1">"""""""""""""""0.075"""""""""""""""</definedName>
    <definedName name="solver_mrt" localSheetId="1" hidden="1">"0.075"</definedName>
    <definedName name="solver_msl" localSheetId="3" hidden="1">2</definedName>
    <definedName name="solver_msl" localSheetId="1" hidden="1">2</definedName>
    <definedName name="solver_neg" localSheetId="3" hidden="1">1</definedName>
    <definedName name="solver_neg" localSheetId="1" hidden="1">1</definedName>
    <definedName name="solver_nod" localSheetId="3" hidden="1">2147483647</definedName>
    <definedName name="solver_nod" localSheetId="1" hidden="1">2147483647</definedName>
    <definedName name="solver_num" localSheetId="3" hidden="1">0</definedName>
    <definedName name="solver_num" localSheetId="1" hidden="1">0</definedName>
    <definedName name="solver_nwt" localSheetId="3" hidden="1">1</definedName>
    <definedName name="solver_nwt" localSheetId="1" hidden="1">1</definedName>
    <definedName name="solver_opt" localSheetId="3" hidden="1">P.E!$D$36</definedName>
    <definedName name="solver_opt" localSheetId="1" hidden="1">Presupuesto!$C$45</definedName>
    <definedName name="solver_pre" localSheetId="3" hidden="1">"""""""""""""""0.000001"""""""""""""""</definedName>
    <definedName name="solver_pre" localSheetId="1" hidden="1">"0.000001"</definedName>
    <definedName name="solver_rbv" localSheetId="3" hidden="1">2</definedName>
    <definedName name="solver_rbv" localSheetId="1" hidden="1">1</definedName>
    <definedName name="solver_rlx" localSheetId="3" hidden="1">2</definedName>
    <definedName name="solver_rlx" localSheetId="1" hidden="1">2</definedName>
    <definedName name="solver_rsd" localSheetId="3" hidden="1">0</definedName>
    <definedName name="solver_rsd" localSheetId="1" hidden="1">0</definedName>
    <definedName name="solver_scl" localSheetId="3" hidden="1">2</definedName>
    <definedName name="solver_scl" localSheetId="1" hidden="1">1</definedName>
    <definedName name="solver_sho" localSheetId="3" hidden="1">2</definedName>
    <definedName name="solver_sho" localSheetId="1" hidden="1">2</definedName>
    <definedName name="solver_ssz" localSheetId="3" hidden="1">100</definedName>
    <definedName name="solver_ssz" localSheetId="1" hidden="1">100</definedName>
    <definedName name="solver_tim" localSheetId="3" hidden="1">2147483647</definedName>
    <definedName name="solver_tim" localSheetId="1" hidden="1">2147483647</definedName>
    <definedName name="solver_tol" localSheetId="3" hidden="1">1</definedName>
    <definedName name="solver_tol" localSheetId="1" hidden="1">0.01</definedName>
    <definedName name="solver_typ" localSheetId="3" hidden="1">3</definedName>
    <definedName name="solver_typ" localSheetId="1" hidden="1">3</definedName>
    <definedName name="solver_val" localSheetId="3" hidden="1">0</definedName>
    <definedName name="solver_val" localSheetId="1" hidden="1">0</definedName>
    <definedName name="solver_ver" localSheetId="3" hidden="1">3</definedName>
    <definedName name="solver_ver" localSheetId="1" hidden="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3" i="4" l="1"/>
  <c r="E22" i="4"/>
  <c r="D22" i="5" l="1"/>
  <c r="D32" i="5" s="1"/>
  <c r="D12" i="5"/>
  <c r="D15" i="5" s="1"/>
  <c r="C31" i="1"/>
  <c r="G117" i="5" l="1"/>
  <c r="F117" i="5" s="1"/>
  <c r="E117" i="5" s="1"/>
  <c r="I117" i="5"/>
  <c r="J117" i="5" s="1"/>
  <c r="K117" i="5" s="1"/>
  <c r="D110" i="5"/>
  <c r="D109" i="5" s="1"/>
  <c r="D108" i="5" s="1"/>
  <c r="D112" i="5"/>
  <c r="D113" i="5"/>
  <c r="D114" i="5"/>
  <c r="G107" i="5"/>
  <c r="F107" i="5" s="1"/>
  <c r="E107" i="5" s="1"/>
  <c r="I107" i="5" l="1"/>
  <c r="J107" i="5" s="1"/>
  <c r="K107" i="5" s="1"/>
  <c r="C31" i="4"/>
  <c r="C30" i="4"/>
  <c r="C28" i="1"/>
  <c r="C4" i="4"/>
  <c r="C35" i="4"/>
  <c r="D13" i="5"/>
  <c r="D38" i="6"/>
  <c r="E25" i="6"/>
  <c r="F25" i="6"/>
  <c r="D25" i="6"/>
  <c r="G13" i="9" l="1"/>
  <c r="H13" i="9" s="1"/>
  <c r="I13" i="9" s="1"/>
  <c r="J13" i="9" s="1"/>
  <c r="K13" i="9" s="1"/>
  <c r="L13" i="9" s="1"/>
  <c r="M13" i="9" s="1"/>
  <c r="N13" i="9" s="1"/>
  <c r="O13" i="9" s="1"/>
  <c r="P13" i="9" s="1"/>
  <c r="Q13" i="9" s="1"/>
  <c r="G12" i="9"/>
  <c r="H12" i="9" s="1"/>
  <c r="I12" i="9" s="1"/>
  <c r="J12" i="9" s="1"/>
  <c r="K12" i="9" s="1"/>
  <c r="L12" i="9" s="1"/>
  <c r="M12" i="9" s="1"/>
  <c r="N12" i="9" s="1"/>
  <c r="O12" i="9" s="1"/>
  <c r="P12" i="9" s="1"/>
  <c r="Q12" i="9" s="1"/>
  <c r="G11" i="9"/>
  <c r="H11" i="9" s="1"/>
  <c r="I11" i="9" s="1"/>
  <c r="J11" i="9" s="1"/>
  <c r="K11" i="9" s="1"/>
  <c r="L11" i="9" s="1"/>
  <c r="M11" i="9" s="1"/>
  <c r="N11" i="9" s="1"/>
  <c r="O11" i="9" s="1"/>
  <c r="P11" i="9" s="1"/>
  <c r="Q11" i="9" s="1"/>
  <c r="D21" i="6"/>
  <c r="E17" i="6" l="1"/>
  <c r="E18" i="6"/>
  <c r="D41" i="5" l="1"/>
  <c r="E9" i="3"/>
  <c r="D9" i="3"/>
  <c r="C9" i="3"/>
  <c r="D10" i="3" s="1"/>
  <c r="C34" i="4"/>
  <c r="C33" i="4"/>
  <c r="C32" i="4"/>
  <c r="C29" i="4"/>
  <c r="E14" i="4"/>
  <c r="E12" i="4"/>
  <c r="E10" i="4"/>
  <c r="E9" i="4"/>
  <c r="C23" i="1"/>
  <c r="E15" i="1"/>
  <c r="E16" i="1" s="1"/>
  <c r="E14" i="1"/>
  <c r="E8" i="1"/>
  <c r="E7" i="1"/>
  <c r="E6" i="1"/>
  <c r="E5" i="1"/>
  <c r="E9" i="1" s="1"/>
  <c r="D26" i="6" l="1"/>
  <c r="E26" i="6" s="1"/>
  <c r="F26" i="6" s="1"/>
  <c r="D35" i="4"/>
  <c r="D14" i="5"/>
  <c r="D16" i="5" s="1"/>
  <c r="D17" i="5" s="1"/>
  <c r="D42" i="4"/>
  <c r="E42" i="4" s="1"/>
  <c r="D42" i="5"/>
  <c r="D23" i="4"/>
  <c r="D29" i="4"/>
  <c r="E29" i="4" s="1"/>
  <c r="D34" i="4"/>
  <c r="E34" i="4" s="1"/>
  <c r="D41" i="4"/>
  <c r="E41" i="4" s="1"/>
  <c r="D24" i="4"/>
  <c r="E24" i="4" s="1"/>
  <c r="D31" i="4"/>
  <c r="E31" i="4" s="1"/>
  <c r="D33" i="4"/>
  <c r="E33" i="4" s="1"/>
  <c r="E35" i="4"/>
  <c r="D22" i="4"/>
  <c r="E25" i="4" s="1"/>
  <c r="D30" i="4"/>
  <c r="E30" i="4" s="1"/>
  <c r="D32" i="4"/>
  <c r="E32" i="4" s="1"/>
  <c r="D40" i="4"/>
  <c r="E40" i="4" s="1"/>
  <c r="E43" i="4" s="1"/>
  <c r="C26" i="1"/>
  <c r="C30" i="1" s="1"/>
  <c r="C13" i="4" s="1"/>
  <c r="E13" i="4" s="1"/>
  <c r="E16" i="4" s="1"/>
  <c r="D26" i="5" l="1"/>
  <c r="D29" i="6"/>
  <c r="D30" i="6" s="1"/>
  <c r="E36" i="4"/>
  <c r="E44" i="4" s="1"/>
  <c r="D23" i="5"/>
  <c r="D24" i="5" s="1"/>
  <c r="D45" i="6" l="1"/>
  <c r="E29" i="6"/>
  <c r="E30" i="6" s="1"/>
  <c r="D43" i="5"/>
  <c r="D45" i="5" s="1"/>
  <c r="D27" i="5"/>
  <c r="F29" i="6" l="1"/>
  <c r="F30" i="6" s="1"/>
  <c r="D29" i="5"/>
  <c r="D30" i="5" s="1"/>
  <c r="G54" i="5"/>
  <c r="F54" i="5" s="1"/>
  <c r="E54" i="5" s="1"/>
  <c r="I54" i="5"/>
  <c r="J54" i="5"/>
  <c r="K54" i="5" s="1"/>
  <c r="D61" i="5"/>
  <c r="D60" i="5" s="1"/>
  <c r="D59" i="5" s="1"/>
  <c r="D58" i="5" s="1"/>
  <c r="D57" i="5" s="1"/>
  <c r="D56" i="5" s="1"/>
  <c r="D55" i="5" s="1"/>
  <c r="D63" i="5"/>
  <c r="D64" i="5" s="1"/>
  <c r="D65" i="5" s="1"/>
  <c r="D66" i="5" s="1"/>
  <c r="D67" i="5" s="1"/>
  <c r="D68" i="5" s="1"/>
  <c r="D33" i="5" l="1"/>
  <c r="D35" i="5" s="1"/>
  <c r="D27" i="6"/>
  <c r="I110" i="6"/>
  <c r="J110" i="6" s="1"/>
  <c r="K110" i="6" s="1"/>
  <c r="G110" i="6"/>
  <c r="F110" i="6" s="1"/>
  <c r="E110" i="6" s="1"/>
  <c r="I102" i="6"/>
  <c r="J102" i="6" s="1"/>
  <c r="K102" i="6" s="1"/>
  <c r="G102" i="6"/>
  <c r="F102" i="6" s="1"/>
  <c r="E102" i="6" s="1"/>
  <c r="D91" i="5" l="1"/>
  <c r="D46" i="5"/>
  <c r="E27" i="6"/>
  <c r="F27" i="6" s="1"/>
  <c r="D41" i="6"/>
  <c r="F18" i="6"/>
  <c r="E19" i="6"/>
  <c r="E38" i="6" s="1"/>
  <c r="F17" i="6"/>
  <c r="G17" i="6" s="1"/>
  <c r="H17" i="6" s="1"/>
  <c r="I17" i="6" s="1"/>
  <c r="J17" i="6" s="1"/>
  <c r="K17" i="6" s="1"/>
  <c r="L17" i="6" s="1"/>
  <c r="M17" i="6" s="1"/>
  <c r="N17" i="6" s="1"/>
  <c r="O17" i="6" s="1"/>
  <c r="D4" i="7"/>
  <c r="I4" i="7" s="1"/>
  <c r="D5" i="7"/>
  <c r="I5" i="7" s="1"/>
  <c r="D6" i="7"/>
  <c r="I6" i="7" s="1"/>
  <c r="D7" i="7"/>
  <c r="I7" i="7" s="1"/>
  <c r="D8" i="7"/>
  <c r="I8" i="7" s="1"/>
  <c r="D9" i="7"/>
  <c r="I9" i="7" s="1"/>
  <c r="D10" i="7"/>
  <c r="I10" i="7" s="1"/>
  <c r="D11" i="7"/>
  <c r="I11" i="7" s="1"/>
  <c r="D12" i="7"/>
  <c r="I12" i="7" s="1"/>
  <c r="D13" i="7"/>
  <c r="I13" i="7" s="1"/>
  <c r="D14" i="7"/>
  <c r="I14" i="7" s="1"/>
  <c r="D15" i="7"/>
  <c r="I15" i="7" s="1"/>
  <c r="D16" i="7"/>
  <c r="I16" i="7" s="1"/>
  <c r="D17" i="7"/>
  <c r="I17" i="7" s="1"/>
  <c r="D18" i="7"/>
  <c r="I18" i="7" s="1"/>
  <c r="D19" i="7"/>
  <c r="I19" i="7" s="1"/>
  <c r="D20" i="7"/>
  <c r="I20" i="7" s="1"/>
  <c r="D21" i="7"/>
  <c r="I21" i="7" s="1"/>
  <c r="D22" i="7"/>
  <c r="I22" i="7" s="1"/>
  <c r="D23" i="7"/>
  <c r="I23" i="7" s="1"/>
  <c r="D24" i="7"/>
  <c r="I24" i="7" s="1"/>
  <c r="D25" i="7"/>
  <c r="I25" i="7" s="1"/>
  <c r="D26" i="7"/>
  <c r="I26" i="7" s="1"/>
  <c r="D27" i="7"/>
  <c r="I27" i="7" s="1"/>
  <c r="D28" i="7"/>
  <c r="I28" i="7" s="1"/>
  <c r="D29" i="7"/>
  <c r="I29" i="7" s="1"/>
  <c r="D30" i="7"/>
  <c r="I30" i="7" s="1"/>
  <c r="D31" i="7"/>
  <c r="I31" i="7" s="1"/>
  <c r="D32" i="7"/>
  <c r="I32" i="7" s="1"/>
  <c r="D33" i="7"/>
  <c r="I33" i="7" s="1"/>
  <c r="D34" i="7"/>
  <c r="I34" i="7" s="1"/>
  <c r="D35" i="7"/>
  <c r="I35" i="7" s="1"/>
  <c r="D36" i="7"/>
  <c r="I36" i="7" s="1"/>
  <c r="D37" i="7"/>
  <c r="I37" i="7" s="1"/>
  <c r="D38" i="7"/>
  <c r="I38" i="7" s="1"/>
  <c r="D3" i="7"/>
  <c r="I3" i="7" s="1"/>
  <c r="I91" i="5"/>
  <c r="J91" i="5" s="1"/>
  <c r="K91" i="5" s="1"/>
  <c r="G91" i="5"/>
  <c r="F91" i="5" s="1"/>
  <c r="E91" i="5" s="1"/>
  <c r="I73" i="5"/>
  <c r="J73" i="5" s="1"/>
  <c r="K73" i="5" s="1"/>
  <c r="G73" i="5"/>
  <c r="F73" i="5" s="1"/>
  <c r="E73" i="5" s="1"/>
  <c r="D36" i="5" l="1"/>
  <c r="D107" i="5"/>
  <c r="D117" i="5"/>
  <c r="D54" i="5"/>
  <c r="E41" i="6"/>
  <c r="E39" i="6"/>
  <c r="E51" i="6" s="1"/>
  <c r="G18" i="6"/>
  <c r="H18" i="6" s="1"/>
  <c r="I18" i="6" s="1"/>
  <c r="J18" i="6" s="1"/>
  <c r="K18" i="6" s="1"/>
  <c r="L18" i="6" s="1"/>
  <c r="M18" i="6" s="1"/>
  <c r="N18" i="6" s="1"/>
  <c r="O18" i="6" s="1"/>
  <c r="F19" i="6"/>
  <c r="F38" i="6" s="1"/>
  <c r="F41" i="6" l="1"/>
  <c r="F39" i="6"/>
  <c r="F51" i="6" s="1"/>
  <c r="D39" i="6"/>
  <c r="G19" i="6"/>
  <c r="G38" i="6" s="1"/>
  <c r="G41" i="6" s="1"/>
  <c r="D42" i="6" l="1"/>
  <c r="D43" i="6" s="1"/>
  <c r="D51" i="6"/>
  <c r="H19" i="6"/>
  <c r="H38" i="6" s="1"/>
  <c r="H41" i="6" s="1"/>
  <c r="G39" i="6"/>
  <c r="G51" i="6" s="1"/>
  <c r="I19" i="6" l="1"/>
  <c r="I38" i="6" s="1"/>
  <c r="I41" i="6" s="1"/>
  <c r="H39" i="6"/>
  <c r="H51" i="6" s="1"/>
  <c r="E37" i="7"/>
  <c r="F37" i="7" s="1"/>
  <c r="E33" i="7"/>
  <c r="F33" i="7" s="1"/>
  <c r="E29" i="7"/>
  <c r="F29" i="7" s="1"/>
  <c r="E25" i="7"/>
  <c r="F25" i="7" s="1"/>
  <c r="E21" i="7"/>
  <c r="F21" i="7" s="1"/>
  <c r="E17" i="7"/>
  <c r="F17" i="7" s="1"/>
  <c r="E13" i="7"/>
  <c r="F13" i="7" s="1"/>
  <c r="E9" i="7"/>
  <c r="F9" i="7" s="1"/>
  <c r="E5" i="7"/>
  <c r="F5" i="7" s="1"/>
  <c r="E36" i="7"/>
  <c r="F36" i="7" s="1"/>
  <c r="E32" i="7"/>
  <c r="F32" i="7" s="1"/>
  <c r="E28" i="7"/>
  <c r="F28" i="7" s="1"/>
  <c r="E24" i="7"/>
  <c r="F24" i="7" s="1"/>
  <c r="E20" i="7"/>
  <c r="F20" i="7" s="1"/>
  <c r="E16" i="7"/>
  <c r="F16" i="7" s="1"/>
  <c r="E12" i="7"/>
  <c r="F12" i="7" s="1"/>
  <c r="E8" i="7"/>
  <c r="F8" i="7" s="1"/>
  <c r="E4" i="7"/>
  <c r="F4" i="7" s="1"/>
  <c r="E35" i="7"/>
  <c r="F35" i="7" s="1"/>
  <c r="E31" i="7"/>
  <c r="F31" i="7" s="1"/>
  <c r="E27" i="7"/>
  <c r="F27" i="7" s="1"/>
  <c r="E23" i="7"/>
  <c r="F23" i="7" s="1"/>
  <c r="E19" i="7"/>
  <c r="F19" i="7" s="1"/>
  <c r="E15" i="7"/>
  <c r="F15" i="7" s="1"/>
  <c r="E11" i="7"/>
  <c r="F11" i="7" s="1"/>
  <c r="E7" i="7"/>
  <c r="F7" i="7" s="1"/>
  <c r="E3" i="7"/>
  <c r="F3" i="7" s="1"/>
  <c r="E38" i="7"/>
  <c r="F38" i="7" s="1"/>
  <c r="E34" i="7"/>
  <c r="F34" i="7" s="1"/>
  <c r="E30" i="7"/>
  <c r="F30" i="7" s="1"/>
  <c r="E26" i="7"/>
  <c r="F26" i="7" s="1"/>
  <c r="E22" i="7"/>
  <c r="F22" i="7" s="1"/>
  <c r="E18" i="7"/>
  <c r="F18" i="7" s="1"/>
  <c r="E14" i="7"/>
  <c r="F14" i="7" s="1"/>
  <c r="E10" i="7"/>
  <c r="F10" i="7" s="1"/>
  <c r="E6" i="7"/>
  <c r="F6" i="7" s="1"/>
  <c r="J19" i="6" l="1"/>
  <c r="J38" i="6" s="1"/>
  <c r="J41" i="6" s="1"/>
  <c r="I39" i="6"/>
  <c r="I51" i="6" s="1"/>
  <c r="F42" i="6"/>
  <c r="F43" i="6" s="1"/>
  <c r="E42" i="6"/>
  <c r="G42" i="6"/>
  <c r="G43" i="6" s="1"/>
  <c r="K19" i="6" l="1"/>
  <c r="K38" i="6" s="1"/>
  <c r="K41" i="6" s="1"/>
  <c r="J39" i="6"/>
  <c r="J51" i="6" s="1"/>
  <c r="E43" i="6"/>
  <c r="H42" i="6"/>
  <c r="H43" i="6" s="1"/>
  <c r="I42" i="6"/>
  <c r="I43" i="6" s="1"/>
  <c r="J42" i="6" l="1"/>
  <c r="J43" i="6" s="1"/>
  <c r="L19" i="6"/>
  <c r="L38" i="6" s="1"/>
  <c r="L41" i="6" s="1"/>
  <c r="K39" i="6"/>
  <c r="K51" i="6" s="1"/>
  <c r="M19" i="6" l="1"/>
  <c r="M38" i="6" s="1"/>
  <c r="M41" i="6" s="1"/>
  <c r="L39" i="6"/>
  <c r="L51" i="6" s="1"/>
  <c r="C60" i="6"/>
  <c r="C62" i="6" s="1"/>
  <c r="C76" i="6" s="1"/>
  <c r="K42" i="6" l="1"/>
  <c r="K43" i="6" s="1"/>
  <c r="N19" i="6"/>
  <c r="N38" i="6" s="1"/>
  <c r="N41" i="6" s="1"/>
  <c r="M39" i="6"/>
  <c r="M51" i="6" s="1"/>
  <c r="H45" i="6" l="1"/>
  <c r="E45" i="6"/>
  <c r="E46" i="6" s="1"/>
  <c r="D48" i="6"/>
  <c r="D46" i="6"/>
  <c r="L42" i="6"/>
  <c r="L43" i="6" s="1"/>
  <c r="O19" i="6"/>
  <c r="N39" i="6"/>
  <c r="N51" i="6" s="1"/>
  <c r="G45" i="6"/>
  <c r="G46" i="6" s="1"/>
  <c r="F45" i="6"/>
  <c r="F46" i="6" s="1"/>
  <c r="D31" i="6" l="1"/>
  <c r="D49" i="6"/>
  <c r="O38" i="6"/>
  <c r="O41" i="6" s="1"/>
  <c r="M42" i="6"/>
  <c r="M43" i="6" s="1"/>
  <c r="I45" i="6"/>
  <c r="I46" i="6" s="1"/>
  <c r="E31" i="6"/>
  <c r="K45" i="6"/>
  <c r="K46" i="6" s="1"/>
  <c r="J45" i="6"/>
  <c r="J46" i="6" s="1"/>
  <c r="H46" i="6"/>
  <c r="E48" i="6"/>
  <c r="E49" i="6" s="1"/>
  <c r="F48" i="6"/>
  <c r="G48" i="6"/>
  <c r="G49" i="6" s="1"/>
  <c r="G52" i="6" s="1"/>
  <c r="E52" i="6" l="1"/>
  <c r="D52" i="6"/>
  <c r="D61" i="6" s="1"/>
  <c r="D62" i="6" s="1"/>
  <c r="D76" i="6" s="1"/>
  <c r="D77" i="6" s="1"/>
  <c r="O39" i="6"/>
  <c r="N42" i="6"/>
  <c r="N43" i="6" s="1"/>
  <c r="F49" i="6"/>
  <c r="G3" i="7"/>
  <c r="G4" i="7"/>
  <c r="G16" i="7"/>
  <c r="G17" i="7"/>
  <c r="G12" i="7"/>
  <c r="G18" i="7"/>
  <c r="G36" i="7"/>
  <c r="G7" i="7"/>
  <c r="G20" i="7"/>
  <c r="G13" i="7"/>
  <c r="G28" i="7"/>
  <c r="G29" i="7"/>
  <c r="G25" i="7"/>
  <c r="G30" i="7"/>
  <c r="G37" i="7"/>
  <c r="G19" i="7"/>
  <c r="G32" i="7"/>
  <c r="G22" i="7"/>
  <c r="G26" i="7"/>
  <c r="G27" i="7"/>
  <c r="G10" i="7"/>
  <c r="G14" i="7"/>
  <c r="G34" i="7"/>
  <c r="G38" i="7"/>
  <c r="G31" i="7"/>
  <c r="H31" i="7" s="1"/>
  <c r="G9" i="7"/>
  <c r="G23" i="7"/>
  <c r="G5" i="7"/>
  <c r="G11" i="7"/>
  <c r="G6" i="7"/>
  <c r="G35" i="7"/>
  <c r="G15" i="7"/>
  <c r="G8" i="7"/>
  <c r="G21" i="7"/>
  <c r="G24" i="7"/>
  <c r="G33" i="7"/>
  <c r="G61" i="6"/>
  <c r="G62" i="6" s="1"/>
  <c r="G54" i="6"/>
  <c r="I48" i="6"/>
  <c r="I49" i="6" s="1"/>
  <c r="I52" i="6" s="1"/>
  <c r="K48" i="6"/>
  <c r="K49" i="6" s="1"/>
  <c r="K52" i="6" s="1"/>
  <c r="J48" i="6"/>
  <c r="J49" i="6" s="1"/>
  <c r="J52" i="6" s="1"/>
  <c r="H48" i="6"/>
  <c r="H49" i="6" s="1"/>
  <c r="H52" i="6" s="1"/>
  <c r="N45" i="6"/>
  <c r="L45" i="6"/>
  <c r="L46" i="6" s="1"/>
  <c r="O45" i="6"/>
  <c r="M45" i="6"/>
  <c r="M46" i="6" s="1"/>
  <c r="O42" i="6" l="1"/>
  <c r="O43" i="6" s="1"/>
  <c r="O51" i="6"/>
  <c r="F52" i="6"/>
  <c r="E61" i="6"/>
  <c r="E62" i="6" s="1"/>
  <c r="E76" i="6" s="1"/>
  <c r="E54" i="6"/>
  <c r="D66" i="6"/>
  <c r="C147" i="6"/>
  <c r="D54" i="6"/>
  <c r="C178" i="6" s="1"/>
  <c r="N46" i="6"/>
  <c r="D73" i="5"/>
  <c r="H21" i="7"/>
  <c r="H23" i="7"/>
  <c r="H28" i="7"/>
  <c r="K54" i="6"/>
  <c r="K61" i="6"/>
  <c r="K62" i="6" s="1"/>
  <c r="H8" i="7"/>
  <c r="H11" i="7"/>
  <c r="H9" i="7"/>
  <c r="H14" i="7"/>
  <c r="H22" i="7"/>
  <c r="H30" i="7"/>
  <c r="H13" i="7"/>
  <c r="H18" i="7"/>
  <c r="H4" i="7"/>
  <c r="J54" i="6"/>
  <c r="J61" i="6"/>
  <c r="J62" i="6" s="1"/>
  <c r="H26" i="7"/>
  <c r="F31" i="6"/>
  <c r="L48" i="6"/>
  <c r="L49" i="6" s="1"/>
  <c r="L52" i="6" s="1"/>
  <c r="O48" i="6"/>
  <c r="N48" i="6"/>
  <c r="M48" i="6"/>
  <c r="M49" i="6" s="1"/>
  <c r="M52" i="6" s="1"/>
  <c r="I61" i="6"/>
  <c r="I62" i="6" s="1"/>
  <c r="I54" i="6"/>
  <c r="H33" i="7"/>
  <c r="H15" i="7"/>
  <c r="H5" i="7"/>
  <c r="K31" i="7"/>
  <c r="H10" i="7"/>
  <c r="H32" i="7"/>
  <c r="H25" i="7"/>
  <c r="H20" i="7"/>
  <c r="H12" i="7"/>
  <c r="H3" i="7"/>
  <c r="H6" i="7"/>
  <c r="H34" i="7"/>
  <c r="H37" i="7"/>
  <c r="H36" i="7"/>
  <c r="H16" i="7"/>
  <c r="H54" i="6"/>
  <c r="H61" i="6"/>
  <c r="H62" i="6" s="1"/>
  <c r="H24" i="7"/>
  <c r="H35" i="7"/>
  <c r="H38" i="7"/>
  <c r="H27" i="7"/>
  <c r="H19" i="7"/>
  <c r="H29" i="7"/>
  <c r="H7" i="7"/>
  <c r="H17" i="7"/>
  <c r="O46" i="6" l="1"/>
  <c r="O49" i="6" s="1"/>
  <c r="O52" i="6" s="1"/>
  <c r="O61" i="6" s="1"/>
  <c r="O62" i="6" s="1"/>
  <c r="J27" i="7"/>
  <c r="L27" i="7" s="1"/>
  <c r="J16" i="7"/>
  <c r="L16" i="7" s="1"/>
  <c r="J4" i="7"/>
  <c r="L4" i="7" s="1"/>
  <c r="K33" i="7"/>
  <c r="J13" i="7"/>
  <c r="L13" i="7" s="1"/>
  <c r="J19" i="7"/>
  <c r="L19" i="7" s="1"/>
  <c r="J9" i="7"/>
  <c r="L9" i="7" s="1"/>
  <c r="K5" i="7"/>
  <c r="J28" i="7"/>
  <c r="L28" i="7" s="1"/>
  <c r="J15" i="7"/>
  <c r="L15" i="7" s="1"/>
  <c r="K17" i="7"/>
  <c r="K21" i="7"/>
  <c r="J34" i="7"/>
  <c r="L34" i="7" s="1"/>
  <c r="J29" i="7"/>
  <c r="L29" i="7" s="1"/>
  <c r="K30" i="7"/>
  <c r="J12" i="7"/>
  <c r="L12" i="7" s="1"/>
  <c r="K14" i="7"/>
  <c r="J38" i="7"/>
  <c r="L38" i="7" s="1"/>
  <c r="J20" i="7"/>
  <c r="L20" i="7" s="1"/>
  <c r="J35" i="7"/>
  <c r="L35" i="7" s="1"/>
  <c r="J25" i="7"/>
  <c r="L25" i="7" s="1"/>
  <c r="K11" i="7"/>
  <c r="J36" i="7"/>
  <c r="L36" i="7" s="1"/>
  <c r="K37" i="7"/>
  <c r="J7" i="7"/>
  <c r="L7" i="7" s="1"/>
  <c r="J24" i="7"/>
  <c r="L24" i="7" s="1"/>
  <c r="J32" i="7"/>
  <c r="L32" i="7" s="1"/>
  <c r="K8" i="7"/>
  <c r="J23" i="7"/>
  <c r="L23" i="7" s="1"/>
  <c r="K18" i="7"/>
  <c r="J6" i="7"/>
  <c r="L6" i="7" s="1"/>
  <c r="J22" i="7"/>
  <c r="L22" i="7" s="1"/>
  <c r="J10" i="7"/>
  <c r="L10" i="7" s="1"/>
  <c r="J26" i="7"/>
  <c r="L26" i="7" s="1"/>
  <c r="J3" i="7"/>
  <c r="L3" i="7" s="1"/>
  <c r="F54" i="6"/>
  <c r="F61" i="6"/>
  <c r="F62" i="6" s="1"/>
  <c r="F66" i="6" s="1"/>
  <c r="F67" i="6" s="1"/>
  <c r="E66" i="6"/>
  <c r="E67" i="6" s="1"/>
  <c r="D67" i="6"/>
  <c r="N49" i="6"/>
  <c r="N52" i="6" s="1"/>
  <c r="N61" i="6" s="1"/>
  <c r="N62" i="6" s="1"/>
  <c r="M54" i="6"/>
  <c r="M61" i="6"/>
  <c r="M62" i="6" s="1"/>
  <c r="J31" i="7"/>
  <c r="L31" i="7" s="1"/>
  <c r="L61" i="6"/>
  <c r="L62" i="6" s="1"/>
  <c r="L54" i="6"/>
  <c r="K29" i="7" l="1"/>
  <c r="K24" i="7"/>
  <c r="K27" i="7"/>
  <c r="K16" i="7"/>
  <c r="K6" i="7"/>
  <c r="K4" i="7"/>
  <c r="K12" i="7"/>
  <c r="K7" i="7"/>
  <c r="K35" i="7"/>
  <c r="K13" i="7"/>
  <c r="K22" i="7"/>
  <c r="K26" i="7"/>
  <c r="K28" i="7"/>
  <c r="K15" i="7"/>
  <c r="K10" i="7"/>
  <c r="K25" i="7"/>
  <c r="K20" i="7"/>
  <c r="K36" i="7"/>
  <c r="K38" i="7"/>
  <c r="J33" i="7"/>
  <c r="L33" i="7" s="1"/>
  <c r="J17" i="7"/>
  <c r="L17" i="7" s="1"/>
  <c r="J37" i="7"/>
  <c r="L37" i="7" s="1"/>
  <c r="K19" i="7"/>
  <c r="K3" i="7"/>
  <c r="J18" i="7"/>
  <c r="L18" i="7" s="1"/>
  <c r="J21" i="7"/>
  <c r="L21" i="7" s="1"/>
  <c r="J14" i="7"/>
  <c r="L14" i="7" s="1"/>
  <c r="J8" i="7"/>
  <c r="L8" i="7" s="1"/>
  <c r="K32" i="7"/>
  <c r="K23" i="7"/>
  <c r="J5" i="7"/>
  <c r="L5" i="7" s="1"/>
  <c r="J11" i="7"/>
  <c r="L11" i="7" s="1"/>
  <c r="J30" i="7"/>
  <c r="L30" i="7" s="1"/>
  <c r="K9" i="7"/>
  <c r="K34" i="7"/>
  <c r="H66" i="6"/>
  <c r="H67" i="6" s="1"/>
  <c r="G66" i="6"/>
  <c r="G67" i="6" s="1"/>
  <c r="K66" i="6"/>
  <c r="K67" i="6" s="1"/>
  <c r="J66" i="6"/>
  <c r="J67" i="6" s="1"/>
  <c r="I66" i="6"/>
  <c r="I67" i="6" s="1"/>
  <c r="E77" i="6"/>
  <c r="C69" i="6"/>
  <c r="C79" i="6"/>
  <c r="F76" i="6"/>
  <c r="C121" i="6"/>
  <c r="N54" i="6"/>
  <c r="O54" i="6"/>
  <c r="M66" i="6"/>
  <c r="M67" i="6" s="1"/>
  <c r="O66" i="6"/>
  <c r="O67" i="6" s="1"/>
  <c r="L66" i="6"/>
  <c r="L67" i="6" s="1"/>
  <c r="N66" i="6"/>
  <c r="N67" i="6" s="1"/>
  <c r="C70" i="6" l="1"/>
  <c r="D102" i="6"/>
  <c r="F77" i="6"/>
  <c r="G76" i="6"/>
  <c r="H76" i="6" s="1"/>
  <c r="G77" i="6" l="1"/>
  <c r="H77" i="6" l="1"/>
  <c r="I76" i="6"/>
  <c r="I77" i="6" l="1"/>
  <c r="J76" i="6"/>
  <c r="J77" i="6" l="1"/>
  <c r="K76" i="6"/>
  <c r="K77" i="6" l="1"/>
  <c r="L76" i="6"/>
  <c r="L77" i="6" l="1"/>
  <c r="M76" i="6"/>
  <c r="M77" i="6" l="1"/>
  <c r="N76" i="6"/>
  <c r="N77" i="6" l="1"/>
  <c r="O76" i="6"/>
  <c r="O77" i="6" s="1"/>
  <c r="D110" i="6" l="1"/>
  <c r="C8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tc={FDCAAAF6-C902-4269-892B-1676533D99F5}</author>
    <author>tc={16997950-5B7E-4868-AA3C-B7FF3724441A}</author>
    <author>Yolet Daniela Vargas Perea</author>
  </authors>
  <commentList>
    <comment ref="C23" authorId="0" shapeId="0" xr:uid="{FDCAAAF6-C902-4269-892B-1676533D99F5}">
      <text>
        <r>
          <rPr>
            <sz val="11"/>
            <color theme="1"/>
            <rFont val="Calibri"/>
            <family val="2"/>
            <scheme val="minor"/>
          </rPr>
          <t xml:space="preserve"> Para el estudio de mercados se elaboraron folletos, los cuales se imprimieron y se entregaron a estudiantes, en total se hizo entrega de 80 folletos.</t>
        </r>
      </text>
    </comment>
    <comment ref="C27" authorId="1" shapeId="0" xr:uid="{16997950-5B7E-4868-AA3C-B7FF3724441A}">
      <text>
        <r>
          <rPr>
            <sz val="11"/>
            <color theme="1"/>
            <rFont val="Calibri"/>
            <family val="2"/>
            <scheme val="minor"/>
          </rPr>
          <t xml:space="preserve"> El logo del programa fue diseñado por los autoras del proyecto
</t>
        </r>
      </text>
    </comment>
    <comment ref="C30" authorId="2" shapeId="0" xr:uid="{DE245FC0-F72A-4081-B80B-03A383D3589F}">
      <text>
        <r>
          <rPr>
            <sz val="9"/>
            <color indexed="81"/>
            <rFont val="Tahoma"/>
            <family val="2"/>
          </rPr>
          <t>Se determinó amortizar los costos de inversión a un periodo de 3 años.</t>
        </r>
      </text>
    </comment>
    <comment ref="C31" authorId="2" shapeId="0" xr:uid="{42BDADE1-E470-4547-8B19-9E616663A508}">
      <text>
        <r>
          <rPr>
            <sz val="9"/>
            <color indexed="81"/>
            <rFont val="Tahoma"/>
            <family val="2"/>
          </rPr>
          <t>Dado a que anualmente se sugirió abrir 4 cohortes del programa, este valor corresponde al costo de inversión mensual.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tc={6EAD5561-3E32-4B61-BB17-D14C5F1B69DB}</author>
    <author>tc={9A1F0078-1882-4954-8299-1B72CAB10A5E}</author>
    <author>tc={1CD53335-91FF-49B1-A60D-7A18E0E1AF36}</author>
  </authors>
  <commentList>
    <comment ref="C4" authorId="0" shapeId="0" xr:uid="{6EAD5561-3E32-4B61-BB17-D14C5F1B69DB}">
      <text>
        <r>
          <rPr>
            <sz val="11"/>
            <color theme="1"/>
            <rFont val="Calibri"/>
            <family val="2"/>
            <scheme val="minor"/>
          </rPr>
          <t>Este es un valor estimado, el cual corresponde al promedio de estudiantes que suelen matricularse en cursos de extensión de la escuela</t>
        </r>
      </text>
    </comment>
    <comment ref="E15" authorId="1" shapeId="0" xr:uid="{9A1F0078-1882-4954-8299-1B72CAB10A5E}">
      <text>
        <r>
          <rPr>
            <sz val="11"/>
            <color theme="1"/>
            <rFont val="Calibri"/>
            <family val="2"/>
            <scheme val="minor"/>
          </rPr>
          <t>Se consultó en la oficina de posgrados acerca de la máquina automática de café que se alquila los fines de semana para los estudiantes de especialización y maestría. La máquina se alquila en comodato, es decir que la empresa que presta este servicio no cobra ningún adicional por el alquiler de la máquina, siempre y cuando se realice una compra mínimo de $400.000 en insumos de cafetería. Nota: El préstamo de la máquina se debe solicitar vía correo electrónico a posgrados con anticipación a la fecha que se requiera.</t>
        </r>
      </text>
    </comment>
    <comment ref="C23" authorId="2" shapeId="0" xr:uid="{1CD53335-91FF-49B1-A60D-7A18E0E1AF36}">
      <text>
        <r>
          <rPr>
            <sz val="11"/>
            <color theme="1"/>
            <rFont val="Calibri"/>
            <family val="2"/>
            <scheme val="minor"/>
          </rPr>
          <t>El costo es de 430.000 por una buseta de 30 pasajeros. El costo de la celda corresponde al valor individual ida y vuelta de cada estudiante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tc={38C0BA3B-BADF-4100-8B55-457228DD9F52}</author>
    <author>tc={8BD13897-48FE-4429-AA76-A3EB0AE331CC}</author>
    <author>tc={CDCECEDE-5F1A-4878-9F2B-462B8C38684A}</author>
    <author>tc={6E52F360-D34D-43A4-B0E5-D278E06DF2A4}</author>
    <author>Yolet Daniela Vargas Perea</author>
    <author>tc={22A23846-4E81-474B-B05A-4DF1EA0E69CF}</author>
  </authors>
  <commentList>
    <comment ref="D7" authorId="0" shapeId="0" xr:uid="{38C0BA3B-BADF-4100-8B55-457228DD9F52}">
      <text>
        <r>
          <rPr>
            <sz val="11"/>
            <color theme="1"/>
            <rFont val="Calibri"/>
            <family val="2"/>
            <scheme val="minor"/>
          </rPr>
          <t>Este sería el margen de ganancia mínimo establecido por la universidad, dado el caso de que se tenga previsto el pago de bonificaciones extraordinarias, y esto se da cuando se debe pagar honorarios a un profesor planta</t>
        </r>
      </text>
    </comment>
    <comment ref="D11" authorId="1" shapeId="0" xr:uid="{8BD13897-48FE-4429-AA76-A3EB0AE331CC}">
      <text>
        <r>
          <rPr>
            <sz val="11"/>
            <color theme="1"/>
            <rFont val="Calibri"/>
            <family val="2"/>
            <scheme val="minor"/>
          </rPr>
          <t xml:space="preserve"> Promedio de estudiantes cursos de extensión (Se tomo como referencia el promedio de estudiantes inscritos a algunos cursos de extensión que han ofertado en la EEIE (ver pág "Prom Est.")</t>
        </r>
      </text>
    </comment>
    <comment ref="D18" authorId="2" shapeId="0" xr:uid="{CDCECEDE-5F1A-4878-9F2B-462B8C38684A}">
      <text>
        <r>
          <rPr>
            <sz val="11"/>
            <color theme="1"/>
            <rFont val="Calibri"/>
            <family val="2"/>
            <scheme val="minor"/>
          </rPr>
          <t>Este margen de ganancia está determinado internamente por la Escuela de Ingeniería Industrial</t>
        </r>
      </text>
    </comment>
    <comment ref="D19" authorId="3" shapeId="0" xr:uid="{6E52F360-D34D-43A4-B0E5-D278E06DF2A4}">
      <text>
        <r>
          <rPr>
            <sz val="11"/>
            <color theme="1"/>
            <rFont val="Calibri"/>
            <family val="2"/>
            <scheme val="minor"/>
          </rPr>
          <t>El Precio de venta del curso se halló iterando a través de la fórmula "buscar objetivo" buscando que la diferencia entre el margen de ganancia esperado y el margen de ganancia neto (real) sea cero.</t>
        </r>
      </text>
    </comment>
    <comment ref="D32" authorId="4" shapeId="0" xr:uid="{7C7441EE-9C45-4F7C-8561-D295AF803CDB}">
      <text>
        <r>
          <rPr>
            <sz val="9"/>
            <color indexed="81"/>
            <rFont val="Tahoma"/>
            <family val="2"/>
          </rPr>
          <t>Toda propuesta de extensión debe generar una contribución de 11% del valor de la actividad  para la Universidad</t>
        </r>
      </text>
    </comment>
    <comment ref="D45" authorId="5" shapeId="0" xr:uid="{22A23846-4E81-474B-B05A-4DF1EA0E69CF}">
      <text>
        <r>
          <rPr>
            <sz val="11"/>
            <color theme="1"/>
            <rFont val="Calibri"/>
            <family val="2"/>
            <scheme val="minor"/>
          </rPr>
          <t>Punto de equilibrio con un margen de ganancia esperado del 20%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tc={2E30354B-B99C-490D-B588-1E7C306036AC}</author>
    <author>tc={47358EDE-6B11-4AF7-8B4E-6A5701104E0D}</author>
  </authors>
  <commentList>
    <comment ref="C19" authorId="0" shapeId="0" xr:uid="{2E30354B-B99C-490D-B588-1E7C306036AC}">
      <text>
        <r>
          <rPr>
            <sz val="11"/>
            <color theme="1"/>
            <rFont val="Calibri"/>
            <family val="2"/>
            <scheme val="minor"/>
          </rPr>
          <t>Punto de equilibrio cuando el margen de ganancia es 0%</t>
        </r>
      </text>
    </comment>
    <comment ref="C25" authorId="1" shapeId="0" xr:uid="{47358EDE-6B11-4AF7-8B4E-6A5701104E0D}">
      <text>
        <r>
          <rPr>
            <sz val="11"/>
            <color theme="1"/>
            <rFont val="Calibri"/>
            <family val="2"/>
            <scheme val="minor"/>
          </rPr>
          <t>Punto de equilibrio cuando el margen de ganancia esperado es del 20%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tc={D819EC28-D7D4-46A7-85B3-2B5554416F53}</author>
    <author>Yolet Daniela Vargas Perea</author>
    <author>tc={BDF21595-2C1F-4F88-BC19-18177C7C76DB}</author>
    <author>tc={23FEB342-D993-4353-9A92-6DFBEDFFB12D}</author>
    <author>tc={848F1871-D724-4E95-B368-7681461F74B0}</author>
    <author>tc={BF5D6513-9080-45A0-BCC1-425E36642A06}</author>
    <author>tc={CCEF5DFA-C4B0-4EB3-A6B4-4BBA25F9739C}</author>
    <author>Miguel angel Sáenz Perez</author>
  </authors>
  <commentList>
    <comment ref="C4" authorId="0" shapeId="0" xr:uid="{D819EC28-D7D4-46A7-85B3-2B5554416F53}">
      <text>
        <r>
          <rPr>
            <sz val="11"/>
            <color theme="1"/>
            <rFont val="Calibri"/>
            <family val="2"/>
            <scheme val="minor"/>
          </rPr>
          <t xml:space="preserve"> Para este análisis se establece que el precio del programa va a variar de acuerdo a la tasa de inflación proyectada para cada año teniendo en cuenta las Proyecciones Económicas para Colombia - abril 2023 del Grupo Bancolombia (ver pág. "Proyección inflación")</t>
        </r>
      </text>
    </comment>
    <comment ref="C10" authorId="1" shapeId="0" xr:uid="{63FB4F20-8ED4-4D40-B152-D2620D70FD66}">
      <text>
        <r>
          <rPr>
            <sz val="9"/>
            <color indexed="81"/>
            <rFont val="Tahoma"/>
            <family val="2"/>
          </rPr>
          <t>Los escenarios fueron supuestos por las autoras del proyecto</t>
        </r>
      </text>
    </comment>
    <comment ref="C69" authorId="2" shapeId="0" xr:uid="{BDF21595-2C1F-4F88-BC19-18177C7C76DB}">
      <text>
        <r>
          <rPr>
            <sz val="11"/>
            <color theme="1"/>
            <rFont val="Calibri"/>
            <family val="2"/>
            <scheme val="minor"/>
          </rPr>
          <t>Corresponde a la rentabilidad  que genera la inversión durante los 3 años, por cohorte.</t>
        </r>
      </text>
    </comment>
    <comment ref="C70" authorId="3" shapeId="0" xr:uid="{23FEB342-D993-4353-9A92-6DFBEDFFB12D}">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Durante los 5 años de inversión, la rentabilidad anual que generará este negocio (es decir por cada 4 cohortes trimestrales), será este valor</t>
        </r>
      </text>
    </comment>
    <comment ref="D76" authorId="1" shapeId="0" xr:uid="{0041BA7A-5321-4B79-909E-511FAD6DF15D}">
      <text>
        <r>
          <rPr>
            <sz val="9"/>
            <color indexed="81"/>
            <rFont val="Tahoma"/>
            <family val="2"/>
          </rPr>
          <t>Teniendo en cuenta los ingresos generados durante la 1 cohorte del programa, la inversión inicial se cubre en su totalidad y se empiezan a generar ganancias</t>
        </r>
      </text>
    </comment>
    <comment ref="B79" authorId="4" shapeId="0" xr:uid="{848F1871-D724-4E95-B368-7681461F74B0}">
      <text>
        <r>
          <rPr>
            <sz val="11"/>
            <color theme="1"/>
            <rFont val="Calibri"/>
            <family val="2"/>
            <scheme val="minor"/>
          </rPr>
          <t>Las cohortes se expresan en términos trimestrales (4 cohortes al año)</t>
        </r>
      </text>
    </comment>
    <comment ref="C79" authorId="5" shapeId="0" xr:uid="{BF5D6513-9080-45A0-BCC1-425E36642A06}">
      <text>
        <r>
          <rPr>
            <sz val="11"/>
            <color theme="1"/>
            <rFont val="Calibri"/>
            <family val="2"/>
            <scheme val="minor"/>
          </rPr>
          <t xml:space="preserve"> Número de cohortes en el que la inversión es recuperada</t>
        </r>
      </text>
    </comment>
    <comment ref="C80" authorId="6" shapeId="0" xr:uid="{CCEF5DFA-C4B0-4EB3-A6B4-4BBA25F9739C}">
      <text>
        <r>
          <rPr>
            <sz val="11"/>
            <color theme="1"/>
            <rFont val="Calibri"/>
            <family val="2"/>
            <scheme val="minor"/>
          </rPr>
          <t>Número de años en el que la inversión es recuperada</t>
        </r>
      </text>
    </comment>
    <comment ref="C103" authorId="1" shapeId="0" xr:uid="{0190D233-45A3-4F9C-BEBD-13EC95C552AF}">
      <text>
        <r>
          <rPr>
            <sz val="9"/>
            <color indexed="81"/>
            <rFont val="Tahoma"/>
            <family val="2"/>
          </rPr>
          <t>1. pesimista
2. moderado
3. optimista</t>
        </r>
      </text>
    </comment>
    <comment ref="C111" authorId="7" shapeId="0" xr:uid="{B4636C49-307A-43EB-8A38-5FA8A02DEC94}">
      <text>
        <r>
          <rPr>
            <b/>
            <sz val="9"/>
            <color indexed="81"/>
            <rFont val="Tahoma"/>
            <family val="2"/>
          </rPr>
          <t>Miguel angel Sáenz Perez:</t>
        </r>
        <r>
          <rPr>
            <sz val="9"/>
            <color indexed="81"/>
            <rFont val="Tahoma"/>
            <family val="2"/>
          </rPr>
          <t xml:space="preserve">
1. Pesimista
2. Moderado
3. Optimista</t>
        </r>
      </text>
    </comment>
    <comment ref="B122" authorId="1" shapeId="0" xr:uid="{094A4946-E861-42B9-B3FA-C990907D3CE2}">
      <text>
        <r>
          <rPr>
            <sz val="9"/>
            <color indexed="81"/>
            <rFont val="Tahoma"/>
            <family val="2"/>
          </rPr>
          <t>1. pesimista
2. moderado
3. optimista</t>
        </r>
      </text>
    </comment>
    <comment ref="B148" authorId="1" shapeId="0" xr:uid="{5613828E-8D82-47E3-B6BB-57A80B9F9952}">
      <text>
        <r>
          <rPr>
            <sz val="9"/>
            <color indexed="81"/>
            <rFont val="Tahoma"/>
            <family val="2"/>
          </rPr>
          <t>1. pesimista
2. moderado
3. optimista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tc={3A505390-9054-4467-9F5B-10C898FFFDB0}</author>
  </authors>
  <commentList>
    <comment ref="E5" authorId="0" shapeId="0" xr:uid="{3A505390-9054-4467-9F5B-10C898FFFDB0}">
      <text>
        <r>
          <rPr>
            <sz val="11"/>
            <color theme="1"/>
            <rFont val="Calibri"/>
            <family val="2"/>
            <scheme val="minor"/>
          </rPr>
          <t xml:space="preserve"> Los escenarios fueron supuestos por las autoras del proyecto</t>
        </r>
      </text>
    </comment>
  </commentList>
</comments>
</file>

<file path=xl/sharedStrings.xml><?xml version="1.0" encoding="utf-8"?>
<sst xmlns="http://schemas.openxmlformats.org/spreadsheetml/2006/main" count="413" uniqueCount="200">
  <si>
    <t>Inversión Inicial</t>
  </si>
  <si>
    <t>Análisis Benchmarking</t>
  </si>
  <si>
    <t>Estudio de Mercados</t>
  </si>
  <si>
    <t>Estudio técnico</t>
  </si>
  <si>
    <t>Publicidad de lanzamiento</t>
  </si>
  <si>
    <t>Diseño Logo</t>
  </si>
  <si>
    <t>Software de Simulación gratuito</t>
  </si>
  <si>
    <t>(=) Total</t>
  </si>
  <si>
    <t>Amortización por Cohorte</t>
  </si>
  <si>
    <t>Concepto</t>
  </si>
  <si>
    <t>V.U</t>
  </si>
  <si>
    <t>Total</t>
  </si>
  <si>
    <t>Descripción</t>
  </si>
  <si>
    <t>Profesional de comunicaciones</t>
  </si>
  <si>
    <t>Auxiliar de comunicaciones</t>
  </si>
  <si>
    <t>Auxiliar Galea</t>
  </si>
  <si>
    <t>Flyers</t>
  </si>
  <si>
    <t>Pendon + counter plástico (stand publicitario)</t>
  </si>
  <si>
    <t>Auxiliar apoyo Stand</t>
  </si>
  <si>
    <t>Horas</t>
  </si>
  <si>
    <t xml:space="preserve">Se encarga del diseño de todo el material digital que se va a usar como apoyo para la promoción del curso a través de redes sociales </t>
  </si>
  <si>
    <t>Unds</t>
  </si>
  <si>
    <t>El stand publicitario estará formado por un pendon con información general del curso y un copunter o mesa con el logo del curso y en donde se encontrarán los flyers informativos y la persona encargada de brindar información a los estudiantes.</t>
  </si>
  <si>
    <t>Los Flyers fueron cotizados a impresión de una tinta con la finalidad de economizar.</t>
  </si>
  <si>
    <t>Cohorte</t>
  </si>
  <si>
    <t>Promedio</t>
  </si>
  <si>
    <t>Presupuesto de Gastos</t>
  </si>
  <si>
    <t>Valor/Un</t>
  </si>
  <si>
    <t>Unidad</t>
  </si>
  <si>
    <t>Gasto Inversión Inicial</t>
  </si>
  <si>
    <t>Auxiliar comunicaciones (hrs)</t>
  </si>
  <si>
    <t>Auxiliar logístico (hrs)</t>
  </si>
  <si>
    <t>Honorarios profesor módulos en español (hrs)</t>
  </si>
  <si>
    <t>Honorarios profesor módulos en ingles (hrs)</t>
  </si>
  <si>
    <t>Gastos Fijos</t>
  </si>
  <si>
    <t>Obsequio de bienvenida</t>
  </si>
  <si>
    <t>Refrigerio jornada de integración</t>
  </si>
  <si>
    <t xml:space="preserve"># Estudiantes </t>
  </si>
  <si>
    <t>Corresponde al transporte desde la UIS hasta la sede recreacional para los estudiantes que asistan a la actividad de integración sugerida. Esta información fue consultada en la Oficina de Extensión de la Escuela a través del contacto directo de transporte con el que esta cuenta.</t>
  </si>
  <si>
    <t>(=) Total Otros Gastos</t>
  </si>
  <si>
    <t>Otros Gastos</t>
  </si>
  <si>
    <t>Insumos Cafeteria</t>
  </si>
  <si>
    <t xml:space="preserve">Vasos desechables </t>
  </si>
  <si>
    <t xml:space="preserve">Pitillos mezcladores </t>
  </si>
  <si>
    <t>Capuccino</t>
  </si>
  <si>
    <t>Aromáticas</t>
  </si>
  <si>
    <t>Servilletas</t>
  </si>
  <si>
    <t>Snacks</t>
  </si>
  <si>
    <t>(=) Total Costos Cafetería</t>
  </si>
  <si>
    <t>Insumos Papeleria</t>
  </si>
  <si>
    <t>Material Papelería</t>
  </si>
  <si>
    <t>Apoyo Adicional</t>
  </si>
  <si>
    <t>Certificaciones</t>
  </si>
  <si>
    <t>Corresponde a la documentación en formato físico o elementos de papelería que requiera el docente y los estudiantes para el desarrollo de  las sesiones del curso.</t>
  </si>
  <si>
    <t>Corresponde al material adicional (diferente al de papelería), que se requiera para el desarrollo de las actividades lúdicas que se encuentran contempladas dentro del curso.</t>
  </si>
  <si>
    <t xml:space="preserve">El valor del certificado (Impresión tamaño carta, a color, en papel opalina) consultado en la papeleria Copyquiz. Es importante mencionar que durante el programa cada estudiante recibirá 5 certificaciones. </t>
  </si>
  <si>
    <t>(=) Total Costos Papelería</t>
  </si>
  <si>
    <t>Transporte sede Guatiguará</t>
  </si>
  <si>
    <t>(=) Total Gastos Variables</t>
  </si>
  <si>
    <t>Costo Unt por Estudiante</t>
  </si>
  <si>
    <t>(=) Total Gastos</t>
  </si>
  <si>
    <t>Estado de Resultados</t>
  </si>
  <si>
    <t>Ingresos</t>
  </si>
  <si>
    <t>(-) CV</t>
  </si>
  <si>
    <t>(=) Margen de Contribución Total (MCT)</t>
  </si>
  <si>
    <t>(=) Utilidad Operacional (EBIT)</t>
  </si>
  <si>
    <t>(-) Imprevistos</t>
  </si>
  <si>
    <t>(=) Utilidad Antes de contr. UIS</t>
  </si>
  <si>
    <t>(-) Contribución UIS</t>
  </si>
  <si>
    <t>(=) Utilidad de la cohorte</t>
  </si>
  <si>
    <t>(%) Margen Neto</t>
  </si>
  <si>
    <t>(-) Gastos Fijos</t>
  </si>
  <si>
    <t># Estudiantes</t>
  </si>
  <si>
    <t>Costos Variables</t>
  </si>
  <si>
    <t>Precio Curso x Estudiante</t>
  </si>
  <si>
    <t>Contr. UIS</t>
  </si>
  <si>
    <t>Punto Eq (Unds)</t>
  </si>
  <si>
    <t>Analisis de Sensibilidad  P.E</t>
  </si>
  <si>
    <t>Punto de Equilibrio (P.E)</t>
  </si>
  <si>
    <t>V.U Honorarios Profesor.</t>
  </si>
  <si>
    <t>Variables a Sensibilizar</t>
  </si>
  <si>
    <t>Honorarios Profesores</t>
  </si>
  <si>
    <t>Hr.</t>
  </si>
  <si>
    <t>Margen de rentabilidad mínimo</t>
  </si>
  <si>
    <t>Honorarios Profesores (CF/Hr)</t>
  </si>
  <si>
    <t># Estudiantes Inscritos</t>
  </si>
  <si>
    <t>Analisis de Sensibilidad  Utilidad Neta (Miles $COP)</t>
  </si>
  <si>
    <t>(=) MCT</t>
  </si>
  <si>
    <t>(-) CF</t>
  </si>
  <si>
    <t>(=) U.A.UIS</t>
  </si>
  <si>
    <t>(-) Contr. UIS</t>
  </si>
  <si>
    <t>(=) Ut. Neta</t>
  </si>
  <si>
    <t>CT</t>
  </si>
  <si>
    <t>2024-1</t>
  </si>
  <si>
    <t>2024-2</t>
  </si>
  <si>
    <t>2024-3</t>
  </si>
  <si>
    <t>2024-4</t>
  </si>
  <si>
    <t>2025-1</t>
  </si>
  <si>
    <t>2025-2</t>
  </si>
  <si>
    <t>2025-3</t>
  </si>
  <si>
    <t>2025-4</t>
  </si>
  <si>
    <t>Año 1</t>
  </si>
  <si>
    <t>Año 2</t>
  </si>
  <si>
    <t>Año 3</t>
  </si>
  <si>
    <t>Año 0</t>
  </si>
  <si>
    <t>Pesimista</t>
  </si>
  <si>
    <t>Moderado</t>
  </si>
  <si>
    <t>Optimista</t>
  </si>
  <si>
    <t>Escenario</t>
  </si>
  <si>
    <t>Variables Macroeconómicas</t>
  </si>
  <si>
    <t>Inflación.Cons (Var (%) Fin año)</t>
  </si>
  <si>
    <t>CF total</t>
  </si>
  <si>
    <t>Flujo de Caja Libre (FCL)</t>
  </si>
  <si>
    <t>(+) Utilidad Neta</t>
  </si>
  <si>
    <t>(=) FCL</t>
  </si>
  <si>
    <t>(+) Inversión Inicial</t>
  </si>
  <si>
    <t>TIR Trimestral Acum.</t>
  </si>
  <si>
    <t>TIR EA% Acum.</t>
  </si>
  <si>
    <t>TIR Trimestral T.V</t>
  </si>
  <si>
    <t>Periodo de recuperación (PR)</t>
  </si>
  <si>
    <t>(=) Monto a recuperar</t>
  </si>
  <si>
    <t>Tasa Interna de Retorno (TIR)</t>
  </si>
  <si>
    <t xml:space="preserve">Escenario </t>
  </si>
  <si>
    <t>V.U Honorarios Profesor. Y TIR</t>
  </si>
  <si>
    <t>V.U Honorarios Profesor. Y PR</t>
  </si>
  <si>
    <t>Trimestral (PR)</t>
  </si>
  <si>
    <t>TIR (t.v)</t>
  </si>
  <si>
    <t>Analisis de Escenarios</t>
  </si>
  <si>
    <t>TIR Acumulada (t.v)</t>
  </si>
  <si>
    <t>Utilidad Neta</t>
  </si>
  <si>
    <t>Margen Neto</t>
  </si>
  <si>
    <t>C.U.V (Costo variable x estudiante)</t>
  </si>
  <si>
    <t>Punto Eq (COP) (Ingresos $)</t>
  </si>
  <si>
    <t>Analisis de Sensibilidad  Margen Neto de ganancia (%)</t>
  </si>
  <si>
    <t>sobre la inversión</t>
  </si>
  <si>
    <t xml:space="preserve"># Cohortes en las que me demoro </t>
  </si>
  <si>
    <t>recuperando la inversión</t>
  </si>
  <si>
    <t>Se espera que este auxiliar apoye la logistica del torneo propuesto para el lanzamiento del programa</t>
  </si>
  <si>
    <t>Honorarios Empresario (hrs)</t>
  </si>
  <si>
    <t xml:space="preserve">Corresponde al refrigerio que se les dará a los estudiantes durante la actividad de integración programada al inicio del curso. </t>
  </si>
  <si>
    <t>Cafe soluble</t>
  </si>
  <si>
    <t xml:space="preserve">Se asignó un valor de $2.000 diario por estudiante para los snacks, considerando que el curso dura 40 horas, entonces serían 20 días durante los cuales se tendra que dar snacks al estudiante. </t>
  </si>
  <si>
    <t>(%) Margen de Ganancia esperado</t>
  </si>
  <si>
    <t>(%) Margen Neto (real)</t>
  </si>
  <si>
    <t>Precio del curso x estudiante</t>
  </si>
  <si>
    <t>Costos Fijos</t>
  </si>
  <si>
    <t>Analisis de Sensibilidad  Punto de Equilibrio (P.E)</t>
  </si>
  <si>
    <t>(=) Utilidad Operacional</t>
  </si>
  <si>
    <t>TIR EA (%) (Tasa efectiva anual)</t>
  </si>
  <si>
    <t>Amortización Anual (3 años)</t>
  </si>
  <si>
    <t xml:space="preserve">Se espera que el auxiliar apoye el stand 6 horas/ semana durante dos semanas que corresponde al tiempo que durará el stand abierto al público. </t>
  </si>
  <si>
    <t>Se encarga de la revisión y aprobación de todo el contenido visual que se va a publicar en las redes sociales</t>
  </si>
  <si>
    <t>El rubro correspondiente al pago del docente, se estimo consultando a través de la oficina de extensión.</t>
  </si>
  <si>
    <t>El valor de la hora pagado al auxiliar fue consultado de forma interna en la escuela. La cantidad de horas que trabajará el auxiliar se estimó teniendo en cuenta las actividades prácticas sugeridas en la que se requiere de su apoyo e igualmente la duración de la actividad de integración</t>
  </si>
  <si>
    <t>Corresponde a la inversion inicial que se requiere para la implementación del programa, la cual se difiere en las 4 cohortes que se abriran en el año.</t>
  </si>
  <si>
    <t>El valor de la hora pagado al auxiliar fue consultado de forma interna en la escuela. Corresponde a la cantidad de horas que empleará el auxiliar de comunicaciones elaborando las piezas publicitarias cada vez que se abra una nueva cohorte del programa</t>
  </si>
  <si>
    <t>Maquina dispensadora de café</t>
  </si>
  <si>
    <r>
      <t xml:space="preserve">El valor de este producto fue tomado del portal web de la empresa Todo Aseo S.A.S.: </t>
    </r>
    <r>
      <rPr>
        <u/>
        <sz val="13"/>
        <color rgb="FF1155CC"/>
        <rFont val="Times New Roman"/>
        <family val="1"/>
      </rPr>
      <t>Ver producto</t>
    </r>
  </si>
  <si>
    <t>Promedio estudiantes cursos de extensión</t>
  </si>
  <si>
    <t>Programa de formación de auditores internos en Sistemas de Gestión Integrados (NTC ISO 9001:2015, NTC ISO 14001:2015, NTC ISO 45001:2018)</t>
  </si>
  <si>
    <t>Programa de formación de auditores internos en el SGC NTC ISO 9001:2015</t>
  </si>
  <si>
    <t>Formación en auditor interno en la norma ISO 45001:2018</t>
  </si>
  <si>
    <t>(-) Costos Variables (CV)</t>
  </si>
  <si>
    <t>Diferencia Margen de Ganancia esperado y Margen de Ganancia Neto</t>
  </si>
  <si>
    <r>
      <rPr>
        <b/>
        <sz val="13"/>
        <color theme="1"/>
        <rFont val="Times New Roman"/>
        <family val="1"/>
      </rPr>
      <t>*</t>
    </r>
    <r>
      <rPr>
        <sz val="13"/>
        <color theme="1"/>
        <rFont val="Times New Roman"/>
        <family val="1"/>
      </rPr>
      <t>Inflación.Cons (Var (%) Fin año)</t>
    </r>
  </si>
  <si>
    <t>Escenarios</t>
  </si>
  <si>
    <t>Escenarios / # cohortes</t>
  </si>
  <si>
    <t>Número de estudiantes matriculados</t>
  </si>
  <si>
    <t>% variación estudiantes matriculados</t>
  </si>
  <si>
    <t>Precio Venta (Valor curso)</t>
  </si>
  <si>
    <t>Costo Variable Unitario (C.V.U.)</t>
  </si>
  <si>
    <t>Costos Fijos (CF)</t>
  </si>
  <si>
    <t>*Fuente: Grupo de investigación Económica Bancolombia (Ver hoja "Proyección inflación)</t>
  </si>
  <si>
    <t>(%) Margen Contribución Total</t>
  </si>
  <si>
    <t>2026-1</t>
  </si>
  <si>
    <t>2026-2</t>
  </si>
  <si>
    <t>2026-3</t>
  </si>
  <si>
    <t>2026-4</t>
  </si>
  <si>
    <t>2024- Inicio</t>
  </si>
  <si>
    <t>Periodo de recuperación trimestral (PRI)</t>
  </si>
  <si>
    <t>Periodo de recuperación anual (PRI)</t>
  </si>
  <si>
    <t># Rentabilidad x cohorte durante los 3 años</t>
  </si>
  <si>
    <t>Corresponde al pago que se le dará a un empresario por realizar una charla dentro del programa. Con el fin de ahorrar costos se sugiere que el invitado pueda ser un egresado de la escuela que realice la intervención Ad Honorem.</t>
  </si>
  <si>
    <r>
      <t xml:space="preserve">A cada estudiante se le entregará un bolígrafo Emory (con capa) + in sticky set jordi. Los precios unitarios de cada elemento fueron tomados del catálogo de la tienda universitaria UIS disponible en: 
</t>
    </r>
    <r>
      <rPr>
        <sz val="13"/>
        <color rgb="FF0070C0"/>
        <rFont val="Times New Roman"/>
        <family val="1"/>
      </rPr>
      <t>Ver catálogo</t>
    </r>
    <r>
      <rPr>
        <sz val="13"/>
        <color theme="1"/>
        <rFont val="Times New Roman"/>
        <family val="1"/>
      </rPr>
      <t xml:space="preserve">
</t>
    </r>
  </si>
  <si>
    <t xml:space="preserve">                                                                    Gastos Fijos</t>
  </si>
  <si>
    <t xml:space="preserve">                                              Gastos Operacionales Variables</t>
  </si>
  <si>
    <t>(-) Contribución UIS (11%)</t>
  </si>
  <si>
    <t>Mg Neto esperado%</t>
  </si>
  <si>
    <t xml:space="preserve">Margen de rentabilidad </t>
  </si>
  <si>
    <t>Analisis de Sensibilidad  Precio de Equilibrio</t>
  </si>
  <si>
    <t>Precio x Estudiante</t>
  </si>
  <si>
    <t>Honorarios x profesor</t>
  </si>
  <si>
    <t>Imprevistos (2% gasto fijo)</t>
  </si>
  <si>
    <t># Estudiantes matriculados</t>
  </si>
  <si>
    <t>Análisis de Margen Neto</t>
  </si>
  <si>
    <t xml:space="preserve">                                  Inversión Piezas Publicitarias (Plan de Marketing)</t>
  </si>
  <si>
    <t xml:space="preserve">                                Inversión Recurso Humano  (Plan de Marketing)</t>
  </si>
  <si>
    <t>Margen Imprevistos (2%)</t>
  </si>
  <si>
    <t/>
  </si>
  <si>
    <t>Se espera que la máquina se alquile en comodato, es decir que la empresa que preste este servicio no cobre ningún adicional por el alquiler de la máquina, siempre y cuando se realice una compra mínimo de $400.000 en insumos de cafetería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</si>
</sst>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0.00_-;\-&quot;$&quot;* #,##0.00_-;_-&quot;$&quot;* &quot;-&quot;??_-;_-@_-"/>
    <numFmt numFmtId="165" formatCode="_-&quot;$&quot;* #,##0_-;\-&quot;$&quot;* #,##0_-;_-&quot;$&quot;* &quot;-&quot;??_-;_-@_-"/>
    <numFmt numFmtId="166" formatCode="0.0%"/>
    <numFmt numFmtId="167" formatCode="0.000%"/>
    <numFmt numFmtId="168" formatCode="_-* #,##0.0_-;\-* #,##0.0_-;_-* &quot;-&quot;??_-;_-@_-"/>
    <numFmt numFmtId="169" formatCode="_-* #,##0_-;\-* #,##0_-;_-* &quot;-&quot;??_-;_-@_-"/>
    <numFmt numFmtId="170" formatCode="0.000"/>
    <numFmt numFmtId="171" formatCode="_-* #,##0.000_-;\-* #,##0.000_-;_-* &quot;-&quot;??_-;_-@_-"/>
  </numFmts>
  <fonts count="34">
    <font>
      <sz val="11"/>
      <color theme="1"/>
      <name val="Calibri"/>
      <family val="2"/>
      <scheme val="minor"/>
    </font>
    <font>
      <sz val="11"/>
      <color theme="1"/>
      <name val="Calibri"/>
      <family val="2"/>
      <scheme val="minor"/>
    </font>
    <font>
      <sz val="11"/>
      <color rgb="FF000000"/>
      <name val="Calibri"/>
      <family val="2"/>
    </font>
    <font>
      <b/>
      <sz val="13"/>
      <color theme="0"/>
      <name val="Avenir"/>
    </font>
    <font>
      <sz val="13"/>
      <color theme="1"/>
      <name val="Avenir"/>
    </font>
    <font>
      <b/>
      <sz val="13"/>
      <color theme="1"/>
      <name val="Avenir"/>
    </font>
    <font>
      <sz val="13"/>
      <color rgb="FF0066CC"/>
      <name val="Avenir"/>
    </font>
    <font>
      <sz val="13"/>
      <color rgb="FF0000FF"/>
      <name val="Avenir"/>
    </font>
    <font>
      <sz val="13"/>
      <name val="Avenir"/>
    </font>
    <font>
      <b/>
      <sz val="13"/>
      <color theme="5" tint="-0.249977111117893"/>
      <name val="Avenir"/>
    </font>
    <font>
      <sz val="8"/>
      <name val="Calibri"/>
      <family val="2"/>
      <scheme val="minor"/>
    </font>
    <font>
      <sz val="9"/>
      <color indexed="81"/>
      <name val="Tahoma"/>
      <family val="2"/>
    </font>
    <font>
      <b/>
      <sz val="9"/>
      <color indexed="81"/>
      <name val="Tahoma"/>
      <family val="2"/>
    </font>
    <font>
      <sz val="13"/>
      <color theme="1"/>
      <name val="Times New Roman"/>
      <family val="1"/>
    </font>
    <font>
      <b/>
      <sz val="13"/>
      <color theme="1"/>
      <name val="Times New Roman"/>
      <family val="1"/>
    </font>
    <font>
      <b/>
      <sz val="13"/>
      <color rgb="FF000000"/>
      <name val="Times New Roman"/>
      <family val="1"/>
    </font>
    <font>
      <sz val="13"/>
      <color rgb="FF000000"/>
      <name val="Times New Roman"/>
      <family val="1"/>
    </font>
    <font>
      <b/>
      <sz val="13"/>
      <color theme="0"/>
      <name val="Times New Roman"/>
      <family val="1"/>
    </font>
    <font>
      <sz val="13"/>
      <name val="Times New Roman"/>
      <family val="1"/>
    </font>
    <font>
      <u/>
      <sz val="13"/>
      <color rgb="FF1155CC"/>
      <name val="Times New Roman"/>
      <family val="1"/>
    </font>
    <font>
      <b/>
      <sz val="13"/>
      <name val="Times New Roman"/>
      <family val="1"/>
    </font>
    <font>
      <sz val="13"/>
      <color rgb="FF0000FF"/>
      <name val="Times New Roman"/>
      <family val="1"/>
    </font>
    <font>
      <i/>
      <sz val="13"/>
      <color theme="1"/>
      <name val="Times New Roman"/>
      <family val="1"/>
    </font>
    <font>
      <sz val="11"/>
      <color theme="1"/>
      <name val="Times New Roman"/>
      <family val="1"/>
    </font>
    <font>
      <sz val="13"/>
      <color theme="2"/>
      <name val="Times New Roman"/>
      <family val="1"/>
    </font>
    <font>
      <b/>
      <i/>
      <sz val="13"/>
      <color theme="1"/>
      <name val="Times New Roman"/>
      <family val="1"/>
    </font>
    <font>
      <b/>
      <sz val="13"/>
      <color rgb="FFFF0000"/>
      <name val="Times New Roman"/>
      <family val="1"/>
    </font>
    <font>
      <b/>
      <i/>
      <sz val="12"/>
      <color theme="1"/>
      <name val="Times New Roman"/>
      <family val="1"/>
    </font>
    <font>
      <sz val="13"/>
      <color theme="6"/>
      <name val="Times New Roman"/>
      <family val="1"/>
    </font>
    <font>
      <i/>
      <sz val="13"/>
      <name val="Times New Roman"/>
      <family val="1"/>
    </font>
    <font>
      <sz val="13"/>
      <color rgb="FF0070C0"/>
      <name val="Times New Roman"/>
      <family val="1"/>
    </font>
    <font>
      <b/>
      <sz val="13"/>
      <color rgb="FFFF0000"/>
      <name val="Avenir"/>
    </font>
    <font>
      <b/>
      <sz val="13"/>
      <name val="Avenir"/>
    </font>
    <font>
      <b/>
      <sz val="13"/>
      <color theme="5" tint="0.59999389629810485"/>
      <name val="Avenir"/>
    </font>
  </fonts>
  <fills count="11">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rgb="FF00206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FFFF00"/>
        <bgColor indexed="64"/>
      </patternFill>
    </fill>
  </fills>
  <borders count="19">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dashed">
        <color indexed="64"/>
      </left>
      <right style="dashed">
        <color indexed="64"/>
      </right>
      <top style="dashed">
        <color indexed="64"/>
      </top>
      <bottom style="dashed">
        <color indexed="64"/>
      </bottom>
      <diagonal/>
    </border>
    <border>
      <left style="thin">
        <color rgb="FF000000"/>
      </left>
      <right/>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 fillId="0" borderId="0"/>
  </cellStyleXfs>
  <cellXfs count="274">
    <xf numFmtId="0" fontId="0" fillId="0" borderId="0" xfId="0"/>
    <xf numFmtId="0" fontId="4" fillId="0" borderId="0" xfId="0" applyFont="1"/>
    <xf numFmtId="165" fontId="4" fillId="0" borderId="1" xfId="2" applyNumberFormat="1" applyFont="1" applyBorder="1"/>
    <xf numFmtId="165" fontId="4" fillId="0" borderId="0" xfId="2" applyNumberFormat="1" applyFont="1"/>
    <xf numFmtId="9" fontId="4" fillId="0" borderId="0" xfId="0" applyNumberFormat="1" applyFont="1"/>
    <xf numFmtId="0" fontId="6" fillId="0" borderId="0" xfId="0" applyFont="1"/>
    <xf numFmtId="9" fontId="7" fillId="0" borderId="0" xfId="3" applyFont="1" applyAlignment="1">
      <alignment horizontal="right"/>
    </xf>
    <xf numFmtId="167" fontId="4" fillId="0" borderId="0" xfId="0" applyNumberFormat="1" applyFont="1"/>
    <xf numFmtId="0" fontId="5" fillId="0" borderId="7" xfId="0" applyFont="1" applyBorder="1"/>
    <xf numFmtId="169" fontId="5" fillId="0" borderId="8" xfId="1" applyNumberFormat="1" applyFont="1" applyBorder="1" applyAlignment="1"/>
    <xf numFmtId="169" fontId="5" fillId="0" borderId="7" xfId="1" applyNumberFormat="1" applyFont="1" applyBorder="1" applyAlignment="1"/>
    <xf numFmtId="169" fontId="5" fillId="0" borderId="9" xfId="1" applyNumberFormat="1" applyFont="1" applyBorder="1" applyAlignment="1"/>
    <xf numFmtId="43" fontId="5" fillId="6" borderId="7" xfId="0" applyNumberFormat="1" applyFont="1" applyFill="1" applyBorder="1" applyAlignment="1">
      <alignment horizontal="center" wrapText="1"/>
    </xf>
    <xf numFmtId="168" fontId="4" fillId="0" borderId="12" xfId="0" applyNumberFormat="1" applyFont="1" applyBorder="1"/>
    <xf numFmtId="168" fontId="4" fillId="0" borderId="1" xfId="0" applyNumberFormat="1" applyFont="1" applyBorder="1"/>
    <xf numFmtId="168" fontId="4" fillId="0" borderId="5" xfId="0" applyNumberFormat="1" applyFont="1" applyBorder="1"/>
    <xf numFmtId="168" fontId="8" fillId="0" borderId="6" xfId="1" applyNumberFormat="1" applyFont="1" applyBorder="1"/>
    <xf numFmtId="168" fontId="8" fillId="0" borderId="6" xfId="0" applyNumberFormat="1" applyFont="1" applyBorder="1"/>
    <xf numFmtId="168" fontId="8" fillId="0" borderId="3" xfId="0" applyNumberFormat="1" applyFont="1" applyBorder="1"/>
    <xf numFmtId="169" fontId="5" fillId="0" borderId="10" xfId="1" applyNumberFormat="1" applyFont="1" applyBorder="1" applyAlignment="1">
      <alignment horizontal="center"/>
    </xf>
    <xf numFmtId="169" fontId="5" fillId="0" borderId="11" xfId="1" applyNumberFormat="1" applyFont="1" applyBorder="1" applyAlignment="1">
      <alignment horizontal="center"/>
    </xf>
    <xf numFmtId="169" fontId="5" fillId="0" borderId="13" xfId="1" applyNumberFormat="1" applyFont="1" applyBorder="1" applyAlignment="1">
      <alignment horizontal="center"/>
    </xf>
    <xf numFmtId="167" fontId="5" fillId="6" borderId="7" xfId="0" applyNumberFormat="1" applyFont="1" applyFill="1" applyBorder="1" applyAlignment="1">
      <alignment horizontal="center" wrapText="1"/>
    </xf>
    <xf numFmtId="166" fontId="8" fillId="0" borderId="2" xfId="3" applyNumberFormat="1" applyFont="1" applyBorder="1"/>
    <xf numFmtId="166" fontId="8" fillId="0" borderId="6" xfId="3" applyNumberFormat="1" applyFont="1" applyBorder="1"/>
    <xf numFmtId="166" fontId="8" fillId="0" borderId="3" xfId="3" applyNumberFormat="1" applyFont="1" applyBorder="1"/>
    <xf numFmtId="166" fontId="4" fillId="0" borderId="14" xfId="3" applyNumberFormat="1" applyFont="1" applyBorder="1"/>
    <xf numFmtId="166" fontId="4" fillId="0" borderId="0" xfId="3" applyNumberFormat="1" applyFont="1" applyBorder="1"/>
    <xf numFmtId="166" fontId="4" fillId="0" borderId="12" xfId="3" applyNumberFormat="1" applyFont="1" applyBorder="1"/>
    <xf numFmtId="166" fontId="9" fillId="0" borderId="0" xfId="3" applyNumberFormat="1" applyFont="1" applyBorder="1"/>
    <xf numFmtId="166" fontId="4" fillId="0" borderId="4" xfId="3" applyNumberFormat="1" applyFont="1" applyBorder="1"/>
    <xf numFmtId="166" fontId="4" fillId="0" borderId="1" xfId="3" applyNumberFormat="1" applyFont="1" applyBorder="1"/>
    <xf numFmtId="166" fontId="4" fillId="0" borderId="5" xfId="3" applyNumberFormat="1" applyFont="1" applyBorder="1"/>
    <xf numFmtId="165" fontId="8" fillId="0" borderId="2" xfId="2" applyNumberFormat="1" applyFont="1" applyBorder="1"/>
    <xf numFmtId="165" fontId="8" fillId="0" borderId="6" xfId="2" applyNumberFormat="1" applyFont="1" applyBorder="1"/>
    <xf numFmtId="165" fontId="8" fillId="0" borderId="3" xfId="2" applyNumberFormat="1" applyFont="1" applyBorder="1"/>
    <xf numFmtId="165" fontId="4" fillId="0" borderId="14" xfId="2" applyNumberFormat="1" applyFont="1" applyBorder="1"/>
    <xf numFmtId="165" fontId="4" fillId="0" borderId="12" xfId="2" applyNumberFormat="1" applyFont="1" applyBorder="1"/>
    <xf numFmtId="165" fontId="9" fillId="0" borderId="0" xfId="2" applyNumberFormat="1" applyFont="1"/>
    <xf numFmtId="165" fontId="4" fillId="0" borderId="4" xfId="2" applyNumberFormat="1" applyFont="1" applyBorder="1"/>
    <xf numFmtId="165" fontId="4" fillId="0" borderId="5" xfId="2" applyNumberFormat="1" applyFont="1" applyBorder="1"/>
    <xf numFmtId="0" fontId="13" fillId="0" borderId="0" xfId="0" applyFont="1"/>
    <xf numFmtId="165" fontId="14" fillId="0" borderId="5" xfId="0" applyNumberFormat="1" applyFont="1" applyBorder="1"/>
    <xf numFmtId="49" fontId="15" fillId="0" borderId="4" xfId="4" applyNumberFormat="1" applyFont="1" applyBorder="1" applyAlignment="1">
      <alignment horizontal="left" vertical="top" wrapText="1"/>
    </xf>
    <xf numFmtId="165" fontId="14" fillId="0" borderId="3" xfId="0" applyNumberFormat="1" applyFont="1" applyBorder="1"/>
    <xf numFmtId="49" fontId="15" fillId="0" borderId="2" xfId="4" applyNumberFormat="1" applyFont="1" applyBorder="1" applyAlignment="1">
      <alignment horizontal="left" vertical="top" wrapText="1"/>
    </xf>
    <xf numFmtId="49" fontId="15" fillId="0" borderId="0" xfId="4" applyNumberFormat="1" applyFont="1" applyAlignment="1">
      <alignment horizontal="left" vertical="top" wrapText="1"/>
    </xf>
    <xf numFmtId="165" fontId="14" fillId="0" borderId="0" xfId="0" applyNumberFormat="1" applyFont="1"/>
    <xf numFmtId="165" fontId="13" fillId="0" borderId="1" xfId="2" applyNumberFormat="1" applyFont="1" applyBorder="1"/>
    <xf numFmtId="49" fontId="16" fillId="0" borderId="1" xfId="4" applyNumberFormat="1" applyFont="1" applyBorder="1" applyAlignment="1">
      <alignment horizontal="left" vertical="top" wrapText="1"/>
    </xf>
    <xf numFmtId="165" fontId="13" fillId="0" borderId="0" xfId="0" applyNumberFormat="1" applyFont="1"/>
    <xf numFmtId="49" fontId="16" fillId="0" borderId="0" xfId="4" applyNumberFormat="1" applyFont="1" applyAlignment="1">
      <alignment horizontal="left" vertical="top" wrapText="1"/>
    </xf>
    <xf numFmtId="165" fontId="13" fillId="0" borderId="0" xfId="2" applyNumberFormat="1" applyFont="1" applyBorder="1"/>
    <xf numFmtId="49" fontId="16" fillId="0" borderId="0" xfId="4" applyNumberFormat="1" applyFont="1" applyAlignment="1">
      <alignment horizontal="left" vertical="top"/>
    </xf>
    <xf numFmtId="0" fontId="17" fillId="3" borderId="0" xfId="4" applyFont="1" applyFill="1"/>
    <xf numFmtId="0" fontId="17" fillId="2" borderId="0" xfId="4" applyFont="1" applyFill="1"/>
    <xf numFmtId="0" fontId="13" fillId="0" borderId="0" xfId="0" applyFont="1" applyAlignment="1">
      <alignment horizontal="left" vertical="center"/>
    </xf>
    <xf numFmtId="165" fontId="13" fillId="0" borderId="0" xfId="2" applyNumberFormat="1" applyFont="1" applyAlignment="1">
      <alignment horizontal="left" vertical="center"/>
    </xf>
    <xf numFmtId="49" fontId="16" fillId="0" borderId="0" xfId="4" applyNumberFormat="1" applyFont="1" applyAlignment="1">
      <alignment horizontal="left" vertical="center" wrapText="1"/>
    </xf>
    <xf numFmtId="165" fontId="14" fillId="0" borderId="0" xfId="2" applyNumberFormat="1" applyFont="1" applyAlignment="1">
      <alignment horizontal="left" vertical="center"/>
    </xf>
    <xf numFmtId="0" fontId="13" fillId="0" borderId="1" xfId="0" applyFont="1" applyBorder="1" applyAlignment="1">
      <alignment horizontal="left" vertical="center" wrapText="1"/>
    </xf>
    <xf numFmtId="165" fontId="13" fillId="0" borderId="1" xfId="2" applyNumberFormat="1" applyFont="1" applyBorder="1" applyAlignment="1">
      <alignment horizontal="center" vertical="center"/>
    </xf>
    <xf numFmtId="0" fontId="13" fillId="0" borderId="1" xfId="0" applyFont="1" applyBorder="1" applyAlignment="1">
      <alignment horizontal="center" vertical="center"/>
    </xf>
    <xf numFmtId="49" fontId="16" fillId="0" borderId="1" xfId="4" applyNumberFormat="1" applyFont="1" applyBorder="1" applyAlignment="1">
      <alignment horizontal="left" vertical="center" wrapText="1"/>
    </xf>
    <xf numFmtId="0" fontId="13" fillId="0" borderId="0" xfId="0" applyFont="1" applyAlignment="1">
      <alignment horizontal="left" vertical="center" wrapText="1"/>
    </xf>
    <xf numFmtId="165" fontId="13" fillId="0" borderId="0" xfId="2" applyNumberFormat="1" applyFont="1" applyAlignment="1">
      <alignment horizontal="center" vertical="center"/>
    </xf>
    <xf numFmtId="0" fontId="13" fillId="0" borderId="0" xfId="0" applyFont="1" applyAlignment="1">
      <alignment horizontal="center" vertical="center"/>
    </xf>
    <xf numFmtId="0" fontId="17" fillId="3" borderId="0" xfId="4" applyFont="1" applyFill="1" applyAlignment="1">
      <alignment vertical="center"/>
    </xf>
    <xf numFmtId="165" fontId="14" fillId="0" borderId="6" xfId="0" applyNumberFormat="1" applyFont="1" applyBorder="1"/>
    <xf numFmtId="0" fontId="17" fillId="3" borderId="0" xfId="4" applyFont="1" applyFill="1" applyAlignment="1">
      <alignment horizontal="center"/>
    </xf>
    <xf numFmtId="0" fontId="17" fillId="2" borderId="0" xfId="4" applyFont="1" applyFill="1" applyAlignment="1">
      <alignment horizontal="center"/>
    </xf>
    <xf numFmtId="0" fontId="14" fillId="0" borderId="0" xfId="0" applyFont="1"/>
    <xf numFmtId="0" fontId="14" fillId="9" borderId="15" xfId="0" applyFont="1" applyFill="1" applyBorder="1" applyAlignment="1">
      <alignment horizontal="center" vertical="center"/>
    </xf>
    <xf numFmtId="165" fontId="13" fillId="0" borderId="0" xfId="0" applyNumberFormat="1" applyFont="1" applyAlignment="1">
      <alignment horizontal="center" vertical="center"/>
    </xf>
    <xf numFmtId="165" fontId="13" fillId="0" borderId="1" xfId="0" applyNumberFormat="1" applyFont="1" applyBorder="1" applyAlignment="1">
      <alignment horizontal="center" vertical="center"/>
    </xf>
    <xf numFmtId="0" fontId="17" fillId="4" borderId="0" xfId="4" applyFont="1" applyFill="1" applyAlignment="1">
      <alignment horizontal="center" vertical="center"/>
    </xf>
    <xf numFmtId="0" fontId="13" fillId="0" borderId="0" xfId="0" applyFont="1" applyAlignment="1">
      <alignment wrapText="1"/>
    </xf>
    <xf numFmtId="0" fontId="13" fillId="0" borderId="1" xfId="0" applyFont="1" applyBorder="1" applyAlignment="1">
      <alignment vertical="center" wrapText="1"/>
    </xf>
    <xf numFmtId="0" fontId="13" fillId="0" borderId="0" xfId="0" applyFont="1" applyAlignment="1">
      <alignment horizontal="left" wrapText="1"/>
    </xf>
    <xf numFmtId="0" fontId="13" fillId="0" borderId="0" xfId="0" applyFont="1" applyAlignment="1">
      <alignment vertical="center" wrapText="1"/>
    </xf>
    <xf numFmtId="0" fontId="13" fillId="0" borderId="1" xfId="0" applyFont="1" applyBorder="1"/>
    <xf numFmtId="165" fontId="14" fillId="0" borderId="0" xfId="0" applyNumberFormat="1" applyFont="1" applyAlignment="1">
      <alignment horizontal="center" vertical="top"/>
    </xf>
    <xf numFmtId="0" fontId="14" fillId="0" borderId="1" xfId="0" applyFont="1" applyBorder="1" applyAlignment="1">
      <alignment horizontal="center" vertical="center"/>
    </xf>
    <xf numFmtId="0" fontId="16" fillId="0" borderId="1" xfId="0" applyFont="1" applyBorder="1" applyAlignment="1">
      <alignment vertical="top" wrapText="1"/>
    </xf>
    <xf numFmtId="0" fontId="16" fillId="0" borderId="0" xfId="0" applyFont="1" applyAlignment="1">
      <alignment horizontal="center" vertical="top"/>
    </xf>
    <xf numFmtId="0" fontId="13" fillId="0" borderId="0" xfId="0" applyFont="1" applyAlignment="1">
      <alignment vertical="top"/>
    </xf>
    <xf numFmtId="0" fontId="16" fillId="0" borderId="1" xfId="0" applyFont="1" applyBorder="1" applyAlignment="1">
      <alignment horizontal="center" vertical="top"/>
    </xf>
    <xf numFmtId="0" fontId="13" fillId="0" borderId="1" xfId="0" applyFont="1" applyBorder="1" applyAlignment="1">
      <alignment vertical="top"/>
    </xf>
    <xf numFmtId="0" fontId="16" fillId="0" borderId="6" xfId="0" applyFont="1" applyBorder="1" applyAlignment="1">
      <alignment horizontal="center" vertical="top"/>
    </xf>
    <xf numFmtId="0" fontId="0" fillId="0" borderId="17" xfId="0" applyBorder="1"/>
    <xf numFmtId="0" fontId="15" fillId="0" borderId="17" xfId="0" applyFont="1" applyBorder="1" applyAlignment="1">
      <alignment horizontal="center" vertical="top"/>
    </xf>
    <xf numFmtId="1" fontId="15" fillId="0" borderId="17" xfId="0" applyNumberFormat="1" applyFont="1" applyBorder="1" applyAlignment="1">
      <alignment horizontal="center" vertical="top"/>
    </xf>
    <xf numFmtId="0" fontId="13" fillId="0" borderId="17" xfId="0" applyFont="1" applyBorder="1"/>
    <xf numFmtId="0" fontId="13" fillId="0" borderId="6" xfId="0" applyFont="1" applyBorder="1"/>
    <xf numFmtId="165" fontId="13" fillId="0" borderId="6" xfId="2" applyNumberFormat="1" applyFont="1" applyBorder="1" applyAlignment="1">
      <alignment horizontal="center" vertical="center"/>
    </xf>
    <xf numFmtId="165" fontId="13" fillId="0" borderId="0" xfId="2" applyNumberFormat="1" applyFont="1" applyBorder="1" applyAlignment="1">
      <alignment horizontal="center" vertical="center"/>
    </xf>
    <xf numFmtId="9" fontId="21" fillId="0" borderId="1" xfId="3" applyFont="1" applyBorder="1" applyAlignment="1">
      <alignment horizontal="right"/>
    </xf>
    <xf numFmtId="165" fontId="13" fillId="0" borderId="1" xfId="0" applyNumberFormat="1" applyFont="1" applyBorder="1"/>
    <xf numFmtId="0" fontId="14" fillId="0" borderId="1" xfId="0" applyFont="1" applyBorder="1"/>
    <xf numFmtId="165" fontId="14" fillId="0" borderId="1" xfId="0" applyNumberFormat="1" applyFont="1" applyBorder="1"/>
    <xf numFmtId="9" fontId="13" fillId="0" borderId="0" xfId="0" applyNumberFormat="1" applyFont="1"/>
    <xf numFmtId="167" fontId="13" fillId="0" borderId="0" xfId="3" applyNumberFormat="1" applyFont="1"/>
    <xf numFmtId="167" fontId="13" fillId="0" borderId="0" xfId="0" applyNumberFormat="1" applyFont="1"/>
    <xf numFmtId="165" fontId="13" fillId="0" borderId="0" xfId="2" applyNumberFormat="1" applyFont="1"/>
    <xf numFmtId="169" fontId="14" fillId="0" borderId="3" xfId="1" applyNumberFormat="1" applyFont="1" applyBorder="1"/>
    <xf numFmtId="0" fontId="14" fillId="0" borderId="4" xfId="0" applyFont="1" applyBorder="1"/>
    <xf numFmtId="164" fontId="14" fillId="0" borderId="5" xfId="2" applyFont="1" applyBorder="1"/>
    <xf numFmtId="0" fontId="8" fillId="0" borderId="0" xfId="0" applyFont="1"/>
    <xf numFmtId="9" fontId="8" fillId="0" borderId="0" xfId="0" applyNumberFormat="1" applyFont="1"/>
    <xf numFmtId="3" fontId="8" fillId="0" borderId="0" xfId="0" applyNumberFormat="1" applyFont="1"/>
    <xf numFmtId="165" fontId="13" fillId="7" borderId="0" xfId="0" applyNumberFormat="1" applyFont="1" applyFill="1"/>
    <xf numFmtId="10" fontId="13" fillId="0" borderId="0" xfId="3" applyNumberFormat="1" applyFont="1"/>
    <xf numFmtId="9" fontId="13" fillId="0" borderId="0" xfId="3" applyFont="1"/>
    <xf numFmtId="0" fontId="13" fillId="10" borderId="0" xfId="0" applyFont="1" applyFill="1"/>
    <xf numFmtId="165" fontId="13" fillId="10" borderId="0" xfId="2" applyNumberFormat="1" applyFont="1" applyFill="1"/>
    <xf numFmtId="165" fontId="13" fillId="10" borderId="0" xfId="0" applyNumberFormat="1" applyFont="1" applyFill="1"/>
    <xf numFmtId="10" fontId="13" fillId="10" borderId="0" xfId="3" applyNumberFormat="1" applyFont="1" applyFill="1"/>
    <xf numFmtId="0" fontId="23" fillId="0" borderId="0" xfId="0" applyFont="1"/>
    <xf numFmtId="10" fontId="13" fillId="0" borderId="0" xfId="0" applyNumberFormat="1" applyFont="1"/>
    <xf numFmtId="170" fontId="13" fillId="0" borderId="0" xfId="0" applyNumberFormat="1" applyFont="1"/>
    <xf numFmtId="0" fontId="24" fillId="0" borderId="0" xfId="0" applyFont="1"/>
    <xf numFmtId="1" fontId="13" fillId="0" borderId="0" xfId="0" applyNumberFormat="1" applyFont="1"/>
    <xf numFmtId="165" fontId="26" fillId="0" borderId="0" xfId="2" applyNumberFormat="1" applyFont="1"/>
    <xf numFmtId="9" fontId="21" fillId="0" borderId="0" xfId="3" applyFont="1" applyAlignment="1">
      <alignment horizontal="right"/>
    </xf>
    <xf numFmtId="0" fontId="27" fillId="0" borderId="0" xfId="0" applyFont="1"/>
    <xf numFmtId="0" fontId="17" fillId="8" borderId="0" xfId="4" applyFont="1" applyFill="1"/>
    <xf numFmtId="0" fontId="17" fillId="2" borderId="14" xfId="4" applyFont="1" applyFill="1" applyBorder="1"/>
    <xf numFmtId="0" fontId="17" fillId="3" borderId="14" xfId="4" applyFont="1" applyFill="1" applyBorder="1"/>
    <xf numFmtId="10" fontId="28" fillId="0" borderId="0" xfId="3" applyNumberFormat="1" applyFont="1"/>
    <xf numFmtId="3" fontId="13" fillId="0" borderId="0" xfId="0" applyNumberFormat="1" applyFont="1"/>
    <xf numFmtId="164" fontId="13" fillId="0" borderId="0" xfId="2" applyFont="1"/>
    <xf numFmtId="0" fontId="14" fillId="10" borderId="0" xfId="0" applyFont="1" applyFill="1"/>
    <xf numFmtId="9" fontId="13" fillId="10" borderId="0" xfId="0" applyNumberFormat="1" applyFont="1" applyFill="1"/>
    <xf numFmtId="166" fontId="13" fillId="0" borderId="0" xfId="3" applyNumberFormat="1" applyFont="1"/>
    <xf numFmtId="0" fontId="14" fillId="0" borderId="7" xfId="0" applyFont="1" applyBorder="1"/>
    <xf numFmtId="10" fontId="13" fillId="0" borderId="9" xfId="0" applyNumberFormat="1" applyFont="1" applyBorder="1"/>
    <xf numFmtId="0" fontId="14" fillId="10" borderId="4" xfId="0" applyFont="1" applyFill="1" applyBorder="1"/>
    <xf numFmtId="10" fontId="13" fillId="0" borderId="5" xfId="0" applyNumberFormat="1" applyFont="1" applyBorder="1"/>
    <xf numFmtId="1" fontId="13" fillId="0" borderId="3" xfId="0" applyNumberFormat="1" applyFont="1" applyBorder="1"/>
    <xf numFmtId="164" fontId="13" fillId="0" borderId="0" xfId="0" applyNumberFormat="1" applyFont="1"/>
    <xf numFmtId="2" fontId="13" fillId="0" borderId="5" xfId="0" applyNumberFormat="1" applyFont="1" applyBorder="1"/>
    <xf numFmtId="3" fontId="28" fillId="0" borderId="0" xfId="0" applyNumberFormat="1" applyFont="1"/>
    <xf numFmtId="0" fontId="13" fillId="0" borderId="10" xfId="0" applyFont="1" applyBorder="1"/>
    <xf numFmtId="167" fontId="14" fillId="6" borderId="7" xfId="0" applyNumberFormat="1" applyFont="1" applyFill="1" applyBorder="1" applyAlignment="1">
      <alignment horizontal="center" wrapText="1"/>
    </xf>
    <xf numFmtId="169" fontId="14" fillId="0" borderId="8" xfId="1" applyNumberFormat="1" applyFont="1" applyBorder="1" applyAlignment="1"/>
    <xf numFmtId="169" fontId="14" fillId="0" borderId="9" xfId="1" applyNumberFormat="1" applyFont="1" applyBorder="1" applyAlignment="1"/>
    <xf numFmtId="169" fontId="14" fillId="0" borderId="10" xfId="1" applyNumberFormat="1" applyFont="1" applyBorder="1" applyAlignment="1">
      <alignment horizontal="center"/>
    </xf>
    <xf numFmtId="10" fontId="18" fillId="0" borderId="2" xfId="3" applyNumberFormat="1" applyFont="1" applyBorder="1"/>
    <xf numFmtId="10" fontId="18" fillId="0" borderId="6" xfId="3" applyNumberFormat="1" applyFont="1" applyBorder="1"/>
    <xf numFmtId="10" fontId="18" fillId="0" borderId="3" xfId="3" applyNumberFormat="1" applyFont="1" applyBorder="1"/>
    <xf numFmtId="169" fontId="14" fillId="0" borderId="11" xfId="1" applyNumberFormat="1" applyFont="1" applyBorder="1" applyAlignment="1">
      <alignment horizontal="center"/>
    </xf>
    <xf numFmtId="10" fontId="13" fillId="0" borderId="14" xfId="3" applyNumberFormat="1" applyFont="1" applyBorder="1"/>
    <xf numFmtId="10" fontId="13" fillId="0" borderId="0" xfId="3" applyNumberFormat="1" applyFont="1" applyBorder="1"/>
    <xf numFmtId="10" fontId="13" fillId="0" borderId="12" xfId="3" applyNumberFormat="1" applyFont="1" applyBorder="1"/>
    <xf numFmtId="169" fontId="14" fillId="0" borderId="13" xfId="1" applyNumberFormat="1" applyFont="1" applyBorder="1" applyAlignment="1">
      <alignment horizontal="center"/>
    </xf>
    <xf numFmtId="10" fontId="13" fillId="0" borderId="4" xfId="3" applyNumberFormat="1" applyFont="1" applyBorder="1"/>
    <xf numFmtId="10" fontId="13" fillId="0" borderId="1" xfId="3" applyNumberFormat="1" applyFont="1" applyBorder="1"/>
    <xf numFmtId="10" fontId="13" fillId="0" borderId="5" xfId="3" applyNumberFormat="1" applyFont="1" applyBorder="1"/>
    <xf numFmtId="43" fontId="14" fillId="6" borderId="7" xfId="1" applyFont="1" applyFill="1" applyBorder="1" applyAlignment="1">
      <alignment horizontal="center" wrapText="1"/>
    </xf>
    <xf numFmtId="171" fontId="18" fillId="0" borderId="2" xfId="1" applyNumberFormat="1" applyFont="1" applyBorder="1"/>
    <xf numFmtId="171" fontId="18" fillId="0" borderId="6" xfId="1" applyNumberFormat="1" applyFont="1" applyBorder="1"/>
    <xf numFmtId="171" fontId="18" fillId="0" borderId="3" xfId="1" applyNumberFormat="1" applyFont="1" applyBorder="1"/>
    <xf numFmtId="171" fontId="13" fillId="0" borderId="14" xfId="1" applyNumberFormat="1" applyFont="1" applyBorder="1"/>
    <xf numFmtId="171" fontId="13" fillId="0" borderId="0" xfId="1" applyNumberFormat="1" applyFont="1" applyBorder="1"/>
    <xf numFmtId="171" fontId="13" fillId="0" borderId="12" xfId="1" applyNumberFormat="1" applyFont="1" applyBorder="1"/>
    <xf numFmtId="171" fontId="13" fillId="0" borderId="4" xfId="1" applyNumberFormat="1" applyFont="1" applyBorder="1"/>
    <xf numFmtId="171" fontId="13" fillId="0" borderId="1" xfId="1" applyNumberFormat="1" applyFont="1" applyBorder="1"/>
    <xf numFmtId="171" fontId="13" fillId="0" borderId="5" xfId="1" applyNumberFormat="1" applyFont="1" applyBorder="1"/>
    <xf numFmtId="0" fontId="28" fillId="0" borderId="0" xfId="0" applyFont="1"/>
    <xf numFmtId="0" fontId="28" fillId="0" borderId="7" xfId="0" applyFont="1" applyBorder="1"/>
    <xf numFmtId="0" fontId="28" fillId="0" borderId="8" xfId="0" applyFont="1" applyBorder="1"/>
    <xf numFmtId="0" fontId="28" fillId="0" borderId="9" xfId="0" applyFont="1" applyBorder="1"/>
    <xf numFmtId="10" fontId="13" fillId="0" borderId="2" xfId="3" applyNumberFormat="1" applyFont="1" applyBorder="1"/>
    <xf numFmtId="10" fontId="13" fillId="0" borderId="6" xfId="3" applyNumberFormat="1" applyFont="1" applyBorder="1"/>
    <xf numFmtId="10" fontId="13" fillId="0" borderId="3" xfId="3" applyNumberFormat="1" applyFont="1" applyBorder="1"/>
    <xf numFmtId="0" fontId="17" fillId="2" borderId="11" xfId="4" applyFont="1" applyFill="1" applyBorder="1"/>
    <xf numFmtId="165" fontId="28" fillId="0" borderId="0" xfId="2" applyNumberFormat="1" applyFont="1"/>
    <xf numFmtId="164" fontId="13" fillId="0" borderId="6" xfId="2" applyFont="1" applyBorder="1"/>
    <xf numFmtId="164" fontId="13" fillId="0" borderId="3" xfId="2" applyFont="1" applyBorder="1"/>
    <xf numFmtId="164" fontId="13" fillId="0" borderId="0" xfId="2" applyFont="1" applyBorder="1"/>
    <xf numFmtId="164" fontId="13" fillId="0" borderId="12" xfId="2" applyFont="1" applyBorder="1"/>
    <xf numFmtId="164" fontId="13" fillId="0" borderId="1" xfId="2" applyFont="1" applyBorder="1"/>
    <xf numFmtId="164" fontId="13" fillId="0" borderId="5" xfId="2" applyFont="1" applyBorder="1"/>
    <xf numFmtId="167" fontId="28" fillId="0" borderId="0" xfId="3" applyNumberFormat="1" applyFont="1"/>
    <xf numFmtId="167" fontId="13" fillId="0" borderId="2" xfId="3" applyNumberFormat="1" applyFont="1" applyBorder="1"/>
    <xf numFmtId="167" fontId="13" fillId="0" borderId="6" xfId="3" applyNumberFormat="1" applyFont="1" applyBorder="1"/>
    <xf numFmtId="167" fontId="13" fillId="0" borderId="3" xfId="3" applyNumberFormat="1" applyFont="1" applyBorder="1"/>
    <xf numFmtId="167" fontId="13" fillId="0" borderId="14" xfId="3" applyNumberFormat="1" applyFont="1" applyBorder="1"/>
    <xf numFmtId="167" fontId="13" fillId="0" borderId="0" xfId="3" applyNumberFormat="1" applyFont="1" applyBorder="1"/>
    <xf numFmtId="167" fontId="13" fillId="0" borderId="12" xfId="3" applyNumberFormat="1" applyFont="1" applyBorder="1"/>
    <xf numFmtId="167" fontId="13" fillId="0" borderId="4" xfId="3" applyNumberFormat="1" applyFont="1" applyBorder="1"/>
    <xf numFmtId="167" fontId="13" fillId="0" borderId="1" xfId="3" applyNumberFormat="1" applyFont="1" applyBorder="1"/>
    <xf numFmtId="167" fontId="13" fillId="0" borderId="5" xfId="3" applyNumberFormat="1" applyFont="1" applyBorder="1"/>
    <xf numFmtId="0" fontId="18" fillId="0" borderId="0" xfId="0" applyFont="1"/>
    <xf numFmtId="0" fontId="25" fillId="0" borderId="0" xfId="0" applyFont="1" applyAlignment="1">
      <alignment horizontal="center"/>
    </xf>
    <xf numFmtId="0" fontId="14" fillId="0" borderId="2" xfId="0" applyFont="1" applyBorder="1" applyAlignment="1">
      <alignment wrapText="1"/>
    </xf>
    <xf numFmtId="0" fontId="13" fillId="0" borderId="0" xfId="0" applyFont="1" applyAlignment="1">
      <alignment horizontal="center"/>
    </xf>
    <xf numFmtId="10" fontId="18" fillId="0" borderId="0" xfId="3" applyNumberFormat="1" applyFont="1"/>
    <xf numFmtId="0" fontId="29" fillId="0" borderId="0" xfId="0" applyFont="1"/>
    <xf numFmtId="0" fontId="13" fillId="0" borderId="0" xfId="0" applyFont="1" applyAlignment="1">
      <alignment horizontal="left" vertical="top" wrapText="1"/>
    </xf>
    <xf numFmtId="0" fontId="18" fillId="0" borderId="0" xfId="4" applyFont="1" applyAlignment="1">
      <alignment wrapText="1"/>
    </xf>
    <xf numFmtId="1" fontId="14" fillId="9" borderId="15" xfId="0" applyNumberFormat="1" applyFont="1" applyFill="1" applyBorder="1" applyAlignment="1">
      <alignment horizontal="center" vertical="center"/>
    </xf>
    <xf numFmtId="0" fontId="18" fillId="0" borderId="0" xfId="4" applyFont="1" applyAlignment="1">
      <alignment vertical="center" wrapText="1"/>
    </xf>
    <xf numFmtId="0" fontId="13" fillId="0" borderId="0" xfId="0" applyFont="1" applyAlignment="1">
      <alignment horizontal="left"/>
    </xf>
    <xf numFmtId="165" fontId="13" fillId="0" borderId="0" xfId="2" applyNumberFormat="1" applyFont="1" applyAlignment="1">
      <alignment horizontal="center"/>
    </xf>
    <xf numFmtId="0" fontId="13" fillId="0" borderId="1" xfId="0" applyFont="1" applyBorder="1" applyAlignment="1">
      <alignment horizontal="left"/>
    </xf>
    <xf numFmtId="165" fontId="13" fillId="0" borderId="1" xfId="2" applyNumberFormat="1" applyFont="1" applyBorder="1" applyAlignment="1">
      <alignment horizontal="center"/>
    </xf>
    <xf numFmtId="0" fontId="13" fillId="0" borderId="1" xfId="0" applyFont="1" applyBorder="1" applyAlignment="1">
      <alignment horizontal="center"/>
    </xf>
    <xf numFmtId="165" fontId="20" fillId="0" borderId="0" xfId="2" applyNumberFormat="1" applyFont="1"/>
    <xf numFmtId="9" fontId="8" fillId="0" borderId="0" xfId="3" applyFont="1" applyAlignment="1">
      <alignment horizontal="right"/>
    </xf>
    <xf numFmtId="168" fontId="4" fillId="0" borderId="0" xfId="0" applyNumberFormat="1" applyFont="1"/>
    <xf numFmtId="169" fontId="5" fillId="0" borderId="6" xfId="1" applyNumberFormat="1" applyFont="1" applyBorder="1" applyAlignment="1"/>
    <xf numFmtId="169" fontId="5" fillId="0" borderId="3" xfId="1" applyNumberFormat="1" applyFont="1" applyBorder="1" applyAlignment="1"/>
    <xf numFmtId="168" fontId="8" fillId="0" borderId="0" xfId="1" applyNumberFormat="1" applyFont="1" applyBorder="1"/>
    <xf numFmtId="0" fontId="5" fillId="0" borderId="18" xfId="0" applyFont="1" applyBorder="1"/>
    <xf numFmtId="169" fontId="5" fillId="6" borderId="10" xfId="0" applyNumberFormat="1" applyFont="1" applyFill="1" applyBorder="1" applyAlignment="1">
      <alignment horizontal="center" wrapText="1"/>
    </xf>
    <xf numFmtId="9" fontId="5" fillId="0" borderId="11" xfId="3" applyFont="1" applyBorder="1" applyAlignment="1">
      <alignment horizontal="center"/>
    </xf>
    <xf numFmtId="9" fontId="31" fillId="0" borderId="13" xfId="3" applyFont="1" applyBorder="1" applyAlignment="1">
      <alignment horizontal="center"/>
    </xf>
    <xf numFmtId="9" fontId="32" fillId="0" borderId="11" xfId="3" applyFont="1" applyBorder="1" applyAlignment="1">
      <alignment horizontal="center"/>
    </xf>
    <xf numFmtId="9" fontId="31" fillId="0" borderId="10" xfId="3" applyFont="1" applyBorder="1" applyAlignment="1">
      <alignment horizontal="center"/>
    </xf>
    <xf numFmtId="168" fontId="33" fillId="0" borderId="6" xfId="1" applyNumberFormat="1" applyFont="1" applyBorder="1"/>
    <xf numFmtId="168" fontId="33" fillId="0" borderId="1" xfId="0" applyNumberFormat="1" applyFont="1" applyBorder="1"/>
    <xf numFmtId="3" fontId="4" fillId="0" borderId="0" xfId="0" applyNumberFormat="1" applyFont="1"/>
    <xf numFmtId="10" fontId="8" fillId="0" borderId="2" xfId="3" applyNumberFormat="1" applyFont="1" applyBorder="1"/>
    <xf numFmtId="10" fontId="8" fillId="0" borderId="6" xfId="3" applyNumberFormat="1" applyFont="1" applyBorder="1"/>
    <xf numFmtId="10" fontId="8" fillId="0" borderId="3" xfId="3" applyNumberFormat="1" applyFont="1" applyBorder="1"/>
    <xf numFmtId="10" fontId="4" fillId="0" borderId="14" xfId="3" applyNumberFormat="1" applyFont="1" applyBorder="1"/>
    <xf numFmtId="10" fontId="4" fillId="0" borderId="12" xfId="3" applyNumberFormat="1" applyFont="1" applyBorder="1"/>
    <xf numFmtId="10" fontId="4" fillId="0" borderId="4" xfId="3" applyNumberFormat="1" applyFont="1" applyBorder="1"/>
    <xf numFmtId="10" fontId="4" fillId="0" borderId="1" xfId="3" applyNumberFormat="1" applyFont="1" applyBorder="1"/>
    <xf numFmtId="10" fontId="4" fillId="0" borderId="5" xfId="3" applyNumberFormat="1" applyFont="1" applyBorder="1"/>
    <xf numFmtId="10" fontId="4" fillId="0" borderId="0" xfId="3" applyNumberFormat="1" applyFont="1" applyBorder="1"/>
    <xf numFmtId="10" fontId="9" fillId="0" borderId="0" xfId="3" applyNumberFormat="1" applyFont="1" applyBorder="1"/>
    <xf numFmtId="167" fontId="5" fillId="6" borderId="2" xfId="0" applyNumberFormat="1" applyFont="1" applyFill="1" applyBorder="1" applyAlignment="1">
      <alignment horizontal="center" wrapText="1"/>
    </xf>
    <xf numFmtId="169" fontId="5" fillId="0" borderId="10" xfId="1" applyNumberFormat="1" applyFont="1" applyBorder="1" applyAlignment="1"/>
    <xf numFmtId="169" fontId="5" fillId="0" borderId="11" xfId="1" applyNumberFormat="1" applyFont="1" applyBorder="1" applyAlignment="1"/>
    <xf numFmtId="169" fontId="5" fillId="0" borderId="13" xfId="1" applyNumberFormat="1" applyFont="1" applyBorder="1" applyAlignment="1"/>
    <xf numFmtId="10" fontId="5" fillId="0" borderId="12" xfId="3" applyNumberFormat="1" applyFont="1" applyBorder="1" applyAlignment="1"/>
    <xf numFmtId="10" fontId="5" fillId="0" borderId="5" xfId="3" applyNumberFormat="1" applyFont="1" applyBorder="1" applyAlignment="1"/>
    <xf numFmtId="0" fontId="17" fillId="0" borderId="0" xfId="4" applyFont="1"/>
    <xf numFmtId="0" fontId="22" fillId="0" borderId="0" xfId="0" applyFont="1"/>
    <xf numFmtId="9" fontId="22" fillId="0" borderId="0" xfId="0" applyNumberFormat="1" applyFont="1" applyAlignment="1">
      <alignment wrapText="1"/>
    </xf>
    <xf numFmtId="0" fontId="14" fillId="0" borderId="2" xfId="0" applyFont="1" applyBorder="1"/>
    <xf numFmtId="0" fontId="3" fillId="0" borderId="0" xfId="4" applyFont="1"/>
    <xf numFmtId="0" fontId="4" fillId="0" borderId="10" xfId="0" applyFont="1" applyBorder="1"/>
    <xf numFmtId="0" fontId="5" fillId="0" borderId="0" xfId="0" applyFont="1"/>
    <xf numFmtId="0" fontId="4" fillId="0" borderId="0" xfId="0" quotePrefix="1" applyFont="1"/>
    <xf numFmtId="0" fontId="14" fillId="0" borderId="6" xfId="0" applyFont="1" applyBorder="1" applyAlignment="1">
      <alignment horizontal="center" vertical="center"/>
    </xf>
    <xf numFmtId="0" fontId="17" fillId="2" borderId="0" xfId="4" applyFont="1" applyFill="1" applyAlignment="1">
      <alignment horizontal="center" vertical="top"/>
    </xf>
    <xf numFmtId="0" fontId="17" fillId="2" borderId="0" xfId="4" applyFont="1" applyFill="1" applyAlignment="1">
      <alignment horizontal="center" vertical="center"/>
    </xf>
    <xf numFmtId="0" fontId="14" fillId="0" borderId="6" xfId="0" applyFont="1" applyBorder="1" applyAlignment="1">
      <alignment horizontal="center"/>
    </xf>
    <xf numFmtId="0" fontId="17" fillId="2" borderId="0" xfId="4" applyFont="1" applyFill="1" applyAlignment="1">
      <alignment horizontal="center"/>
    </xf>
    <xf numFmtId="165" fontId="20" fillId="5" borderId="0" xfId="4" applyNumberFormat="1" applyFont="1" applyFill="1" applyAlignment="1">
      <alignment vertical="top"/>
    </xf>
    <xf numFmtId="49" fontId="15" fillId="0" borderId="0" xfId="4" applyNumberFormat="1" applyFont="1" applyAlignment="1">
      <alignment horizontal="left" vertical="top" wrapText="1"/>
    </xf>
    <xf numFmtId="49" fontId="15" fillId="0" borderId="6" xfId="4" applyNumberFormat="1" applyFont="1" applyBorder="1" applyAlignment="1">
      <alignment horizontal="left" vertical="top" wrapText="1"/>
    </xf>
    <xf numFmtId="0" fontId="17" fillId="4" borderId="0" xfId="4" applyFont="1" applyFill="1" applyAlignment="1">
      <alignment horizontal="left"/>
    </xf>
    <xf numFmtId="0" fontId="17" fillId="2" borderId="16" xfId="4" applyFont="1" applyFill="1" applyBorder="1" applyAlignment="1">
      <alignment horizont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wrapText="1"/>
    </xf>
    <xf numFmtId="0" fontId="3" fillId="4" borderId="0" xfId="4" applyFont="1" applyFill="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9" xfId="0" applyFont="1" applyBorder="1" applyAlignment="1">
      <alignment horizontal="center"/>
    </xf>
    <xf numFmtId="0" fontId="5" fillId="0" borderId="2"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17" fillId="4" borderId="0" xfId="4" applyFont="1" applyFill="1" applyAlignment="1">
      <alignment horizont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xf>
    <xf numFmtId="0" fontId="14" fillId="0" borderId="8" xfId="0" applyFont="1" applyBorder="1" applyAlignment="1">
      <alignment horizontal="center"/>
    </xf>
    <xf numFmtId="0" fontId="14" fillId="0" borderId="9" xfId="0" applyFont="1" applyBorder="1" applyAlignment="1">
      <alignment horizontal="center"/>
    </xf>
  </cellXfs>
  <cellStyles count="5">
    <cellStyle name="Millares" xfId="1" builtinId="3"/>
    <cellStyle name="Moneda" xfId="2" builtinId="4"/>
    <cellStyle name="Normal" xfId="0" builtinId="0"/>
    <cellStyle name="Normal 3" xfId="4" xr:uid="{AEE06C54-E4A0-45D5-8454-20F551B2D7EB}"/>
    <cellStyle name="Porcentaje" xfId="3" builtinId="5"/>
  </cellStyles>
  <dxfs count="0"/>
  <tableStyles count="0" defaultTableStyle="TableStyleMedium2" defaultPivotStyle="PivotStyleLight16"/>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r>
              <a:rPr lang="es-CO"/>
              <a:t>Análisis de Punto de Equilibrio (P.E)</a:t>
            </a:r>
          </a:p>
        </c:rich>
      </c:tx>
      <c:layout>
        <c:manualLayout>
          <c:xMode val="edge"/>
          <c:yMode val="edge"/>
          <c:x val="0.30465965014117063"/>
          <c:y val="2.6860768674709646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title>
    <c:autoTitleDeleted val="0"/>
    <c:plotArea>
      <c:layout>
        <c:manualLayout>
          <c:layoutTarget val="inner"/>
          <c:xMode val="edge"/>
          <c:yMode val="edge"/>
          <c:x val="0.13356056812193068"/>
          <c:y val="0.11951755114486161"/>
          <c:w val="0.8379489220346682"/>
          <c:h val="0.77047027108897692"/>
        </c:manualLayout>
      </c:layout>
      <c:scatterChart>
        <c:scatterStyle val="smoothMarker"/>
        <c:varyColors val="0"/>
        <c:ser>
          <c:idx val="1"/>
          <c:order val="0"/>
          <c:tx>
            <c:strRef>
              <c:f>'P.E Gráfico'!$E$2</c:f>
              <c:strCache>
                <c:ptCount val="1"/>
                <c:pt idx="0">
                  <c:v>(-) CV</c:v>
                </c:pt>
              </c:strCache>
            </c:strRef>
          </c:tx>
          <c:spPr>
            <a:ln w="25400" cap="rnd">
              <a:solidFill>
                <a:schemeClr val="accent2"/>
              </a:solidFill>
              <a:prstDash val="sysDot"/>
              <a:round/>
            </a:ln>
            <a:effectLst>
              <a:outerShdw blurRad="57150" dist="19050" dir="5400000" algn="ctr" rotWithShape="0">
                <a:srgbClr val="000000">
                  <a:alpha val="63000"/>
                </a:srgbClr>
              </a:outerShdw>
            </a:effectLst>
          </c:spPr>
          <c:marker>
            <c:symbol val="none"/>
          </c:marker>
          <c:xVal>
            <c:numRef>
              <c:f>'P.E Gráfico'!$C$3:$C$38</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xVal>
          <c:yVal>
            <c:numRef>
              <c:f>'P.E Gráfico'!$E$3:$E$38</c:f>
              <c:numCache>
                <c:formatCode>_-"$"* #,##0_-;\-"$"* #,##0_-;_-"$"* "-"??_-;_-@_-</c:formatCode>
                <c:ptCount val="36"/>
                <c:pt idx="0">
                  <c:v>81442.737414141418</c:v>
                </c:pt>
                <c:pt idx="1">
                  <c:v>162885.47482828284</c:v>
                </c:pt>
                <c:pt idx="2">
                  <c:v>244328.21224242426</c:v>
                </c:pt>
                <c:pt idx="3">
                  <c:v>325770.94965656567</c:v>
                </c:pt>
                <c:pt idx="4">
                  <c:v>407213.68707070709</c:v>
                </c:pt>
                <c:pt idx="5">
                  <c:v>488656.42448484851</c:v>
                </c:pt>
                <c:pt idx="6">
                  <c:v>570099.16189898993</c:v>
                </c:pt>
                <c:pt idx="7">
                  <c:v>651541.89931313135</c:v>
                </c:pt>
                <c:pt idx="8">
                  <c:v>732984.63672727277</c:v>
                </c:pt>
                <c:pt idx="9">
                  <c:v>814427.37414141418</c:v>
                </c:pt>
                <c:pt idx="10">
                  <c:v>895870.1115555556</c:v>
                </c:pt>
                <c:pt idx="11">
                  <c:v>977312.84896969702</c:v>
                </c:pt>
                <c:pt idx="12">
                  <c:v>1058755.5863838384</c:v>
                </c:pt>
                <c:pt idx="13">
                  <c:v>1140198.3237979799</c:v>
                </c:pt>
                <c:pt idx="14">
                  <c:v>1221641.0612121213</c:v>
                </c:pt>
                <c:pt idx="15">
                  <c:v>1303083.7986262627</c:v>
                </c:pt>
                <c:pt idx="16">
                  <c:v>1384526.5360404041</c:v>
                </c:pt>
                <c:pt idx="17">
                  <c:v>1465969.2734545455</c:v>
                </c:pt>
                <c:pt idx="18">
                  <c:v>1547412.0108686869</c:v>
                </c:pt>
                <c:pt idx="19">
                  <c:v>1628854.7482828284</c:v>
                </c:pt>
                <c:pt idx="20">
                  <c:v>1710297.4856969698</c:v>
                </c:pt>
                <c:pt idx="21">
                  <c:v>1791740.2231111112</c:v>
                </c:pt>
                <c:pt idx="22">
                  <c:v>1873182.9605252526</c:v>
                </c:pt>
                <c:pt idx="23">
                  <c:v>1954625.697939394</c:v>
                </c:pt>
                <c:pt idx="24">
                  <c:v>2036068.4353535355</c:v>
                </c:pt>
                <c:pt idx="25">
                  <c:v>2117511.1727676769</c:v>
                </c:pt>
                <c:pt idx="26">
                  <c:v>2198953.9101818185</c:v>
                </c:pt>
                <c:pt idx="27">
                  <c:v>2280396.6475959597</c:v>
                </c:pt>
                <c:pt idx="28">
                  <c:v>2361839.3850101009</c:v>
                </c:pt>
                <c:pt idx="29">
                  <c:v>2443282.1224242426</c:v>
                </c:pt>
                <c:pt idx="30">
                  <c:v>2524724.8598383842</c:v>
                </c:pt>
                <c:pt idx="31">
                  <c:v>2606167.5972525254</c:v>
                </c:pt>
                <c:pt idx="32">
                  <c:v>2687610.3346666666</c:v>
                </c:pt>
                <c:pt idx="33">
                  <c:v>2769053.0720808082</c:v>
                </c:pt>
                <c:pt idx="34">
                  <c:v>2850495.8094949499</c:v>
                </c:pt>
                <c:pt idx="35">
                  <c:v>2931938.5469090911</c:v>
                </c:pt>
              </c:numCache>
            </c:numRef>
          </c:yVal>
          <c:smooth val="1"/>
          <c:extLst>
            <c:ext xmlns:c16="http://schemas.microsoft.com/office/drawing/2014/chart" uri="{C3380CC4-5D6E-409C-BE32-E72D297353CC}">
              <c16:uniqueId val="{00000001-5AAC-49C9-AB84-37E19153F17E}"/>
            </c:ext>
          </c:extLst>
        </c:ser>
        <c:ser>
          <c:idx val="3"/>
          <c:order val="1"/>
          <c:tx>
            <c:strRef>
              <c:f>'P.E Gráfico'!$G$2</c:f>
              <c:strCache>
                <c:ptCount val="1"/>
                <c:pt idx="0">
                  <c:v>(-) CF</c:v>
                </c:pt>
              </c:strCache>
            </c:strRef>
          </c:tx>
          <c:spPr>
            <a:ln w="25400" cap="rnd">
              <a:solidFill>
                <a:schemeClr val="accent4"/>
              </a:solidFill>
              <a:round/>
            </a:ln>
            <a:effectLst>
              <a:outerShdw blurRad="57150" dist="19050" dir="5400000" algn="ctr" rotWithShape="0">
                <a:srgbClr val="000000">
                  <a:alpha val="63000"/>
                </a:srgbClr>
              </a:outerShdw>
            </a:effectLst>
          </c:spPr>
          <c:marker>
            <c:symbol val="none"/>
          </c:marker>
          <c:xVal>
            <c:numRef>
              <c:f>'P.E Gráfico'!$C$3:$C$38</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xVal>
          <c:yVal>
            <c:numRef>
              <c:f>'P.E Gráfico'!$G$3:$G$38</c:f>
              <c:numCache>
                <c:formatCode>_-"$"* #,##0_-;\-"$"* #,##0_-;_-"$"* "-"??_-;_-@_-</c:formatCode>
                <c:ptCount val="36"/>
                <c:pt idx="0">
                  <c:v>8484246.666666666</c:v>
                </c:pt>
                <c:pt idx="1">
                  <c:v>8484246.666666666</c:v>
                </c:pt>
                <c:pt idx="2">
                  <c:v>8484246.666666666</c:v>
                </c:pt>
                <c:pt idx="3">
                  <c:v>8484246.666666666</c:v>
                </c:pt>
                <c:pt idx="4">
                  <c:v>8484246.666666666</c:v>
                </c:pt>
                <c:pt idx="5">
                  <c:v>8484246.666666666</c:v>
                </c:pt>
                <c:pt idx="6">
                  <c:v>8484246.666666666</c:v>
                </c:pt>
                <c:pt idx="7">
                  <c:v>8484246.666666666</c:v>
                </c:pt>
                <c:pt idx="8">
                  <c:v>8484246.666666666</c:v>
                </c:pt>
                <c:pt idx="9">
                  <c:v>8484246.666666666</c:v>
                </c:pt>
                <c:pt idx="10">
                  <c:v>8484246.666666666</c:v>
                </c:pt>
                <c:pt idx="11">
                  <c:v>8484246.666666666</c:v>
                </c:pt>
                <c:pt idx="12">
                  <c:v>8484246.666666666</c:v>
                </c:pt>
                <c:pt idx="13">
                  <c:v>8484246.666666666</c:v>
                </c:pt>
                <c:pt idx="14">
                  <c:v>8484246.666666666</c:v>
                </c:pt>
                <c:pt idx="15">
                  <c:v>8484246.666666666</c:v>
                </c:pt>
                <c:pt idx="16">
                  <c:v>8484246.666666666</c:v>
                </c:pt>
                <c:pt idx="17">
                  <c:v>8484246.666666666</c:v>
                </c:pt>
                <c:pt idx="18">
                  <c:v>8484246.666666666</c:v>
                </c:pt>
                <c:pt idx="19">
                  <c:v>8484246.666666666</c:v>
                </c:pt>
                <c:pt idx="20">
                  <c:v>8484246.666666666</c:v>
                </c:pt>
                <c:pt idx="21">
                  <c:v>8484246.666666666</c:v>
                </c:pt>
                <c:pt idx="22">
                  <c:v>8484246.666666666</c:v>
                </c:pt>
                <c:pt idx="23">
                  <c:v>8484246.666666666</c:v>
                </c:pt>
                <c:pt idx="24">
                  <c:v>8484246.666666666</c:v>
                </c:pt>
                <c:pt idx="25">
                  <c:v>8484246.666666666</c:v>
                </c:pt>
                <c:pt idx="26">
                  <c:v>8484246.666666666</c:v>
                </c:pt>
                <c:pt idx="27">
                  <c:v>8484246.666666666</c:v>
                </c:pt>
                <c:pt idx="28">
                  <c:v>8484246.666666666</c:v>
                </c:pt>
                <c:pt idx="29">
                  <c:v>8484246.666666666</c:v>
                </c:pt>
                <c:pt idx="30">
                  <c:v>8484246.666666666</c:v>
                </c:pt>
                <c:pt idx="31">
                  <c:v>8484246.666666666</c:v>
                </c:pt>
                <c:pt idx="32">
                  <c:v>8484246.666666666</c:v>
                </c:pt>
                <c:pt idx="33">
                  <c:v>8484246.666666666</c:v>
                </c:pt>
                <c:pt idx="34">
                  <c:v>8484246.666666666</c:v>
                </c:pt>
                <c:pt idx="35">
                  <c:v>8484246.666666666</c:v>
                </c:pt>
              </c:numCache>
            </c:numRef>
          </c:yVal>
          <c:smooth val="1"/>
          <c:extLst>
            <c:ext xmlns:c16="http://schemas.microsoft.com/office/drawing/2014/chart" uri="{C3380CC4-5D6E-409C-BE32-E72D297353CC}">
              <c16:uniqueId val="{00000003-5AAC-49C9-AB84-37E19153F17E}"/>
            </c:ext>
          </c:extLst>
        </c:ser>
        <c:ser>
          <c:idx val="6"/>
          <c:order val="2"/>
          <c:tx>
            <c:strRef>
              <c:f>'P.E Gráfico'!$J$2</c:f>
              <c:strCache>
                <c:ptCount val="1"/>
                <c:pt idx="0">
                  <c:v>(=) Ut. Neta</c:v>
                </c:pt>
              </c:strCache>
            </c:strRef>
          </c:tx>
          <c:spPr>
            <a:ln w="25400" cap="rnd">
              <a:solidFill>
                <a:schemeClr val="accent1">
                  <a:lumMod val="60000"/>
                </a:schemeClr>
              </a:solidFill>
              <a:prstDash val="lgDashDotDot"/>
              <a:round/>
            </a:ln>
            <a:effectLst>
              <a:outerShdw blurRad="57150" dist="19050" dir="5400000" algn="ctr" rotWithShape="0">
                <a:srgbClr val="000000">
                  <a:alpha val="63000"/>
                </a:srgbClr>
              </a:outerShdw>
            </a:effectLst>
          </c:spPr>
          <c:marker>
            <c:symbol val="none"/>
          </c:marker>
          <c:xVal>
            <c:numRef>
              <c:f>'P.E Gráfico'!$C$3:$C$38</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xVal>
          <c:yVal>
            <c:numRef>
              <c:f>'P.E Gráfico'!$J$3:$J$38</c:f>
              <c:numCache>
                <c:formatCode>_-"$"* #,##0_-;\-"$"* #,##0_-;_-"$"* "-"??_-;_-@_-</c:formatCode>
                <c:ptCount val="36"/>
                <c:pt idx="0">
                  <c:v>-7985599.1573931659</c:v>
                </c:pt>
                <c:pt idx="1">
                  <c:v>-7486951.6481196657</c:v>
                </c:pt>
                <c:pt idx="2">
                  <c:v>-6988304.1388461664</c:v>
                </c:pt>
                <c:pt idx="3">
                  <c:v>-6489656.6295726663</c:v>
                </c:pt>
                <c:pt idx="4">
                  <c:v>-5991009.1202991661</c:v>
                </c:pt>
                <c:pt idx="5">
                  <c:v>-5492361.6110256659</c:v>
                </c:pt>
                <c:pt idx="6">
                  <c:v>-4993714.1017521666</c:v>
                </c:pt>
                <c:pt idx="7">
                  <c:v>-4495066.5924786665</c:v>
                </c:pt>
                <c:pt idx="8">
                  <c:v>-3996419.0832051663</c:v>
                </c:pt>
                <c:pt idx="9">
                  <c:v>-3497771.5739316661</c:v>
                </c:pt>
                <c:pt idx="10">
                  <c:v>-2999124.0646581664</c:v>
                </c:pt>
                <c:pt idx="11">
                  <c:v>-2500476.5553846667</c:v>
                </c:pt>
                <c:pt idx="12">
                  <c:v>-2001829.0461111655</c:v>
                </c:pt>
                <c:pt idx="13">
                  <c:v>-1503181.5368376665</c:v>
                </c:pt>
                <c:pt idx="14">
                  <c:v>-1004534.0275641656</c:v>
                </c:pt>
                <c:pt idx="15">
                  <c:v>-505886.51829066663</c:v>
                </c:pt>
                <c:pt idx="16">
                  <c:v>-7239.0090171673801</c:v>
                </c:pt>
                <c:pt idx="17">
                  <c:v>491408.5002563335</c:v>
                </c:pt>
                <c:pt idx="18">
                  <c:v>990056.00952983252</c:v>
                </c:pt>
                <c:pt idx="19">
                  <c:v>1488703.5188033334</c:v>
                </c:pt>
                <c:pt idx="20">
                  <c:v>1987351.0280768343</c:v>
                </c:pt>
                <c:pt idx="21">
                  <c:v>2485998.5373503333</c:v>
                </c:pt>
                <c:pt idx="22">
                  <c:v>2984646.0466238344</c:v>
                </c:pt>
                <c:pt idx="23">
                  <c:v>3483293.5558973332</c:v>
                </c:pt>
                <c:pt idx="24">
                  <c:v>3981941.065170832</c:v>
                </c:pt>
                <c:pt idx="25">
                  <c:v>4480588.574444335</c:v>
                </c:pt>
                <c:pt idx="26">
                  <c:v>4979236.0837178342</c:v>
                </c:pt>
                <c:pt idx="27">
                  <c:v>5477883.5929913335</c:v>
                </c:pt>
                <c:pt idx="28">
                  <c:v>5976531.1022648336</c:v>
                </c:pt>
                <c:pt idx="29">
                  <c:v>6475178.6115383347</c:v>
                </c:pt>
                <c:pt idx="30">
                  <c:v>6973826.1208118321</c:v>
                </c:pt>
                <c:pt idx="31">
                  <c:v>7472473.6300853323</c:v>
                </c:pt>
                <c:pt idx="32">
                  <c:v>7971121.1393588334</c:v>
                </c:pt>
                <c:pt idx="33">
                  <c:v>8469768.6486323308</c:v>
                </c:pt>
                <c:pt idx="34">
                  <c:v>8968416.1579058319</c:v>
                </c:pt>
                <c:pt idx="35">
                  <c:v>9467063.667179333</c:v>
                </c:pt>
              </c:numCache>
            </c:numRef>
          </c:yVal>
          <c:smooth val="1"/>
          <c:extLst>
            <c:ext xmlns:c16="http://schemas.microsoft.com/office/drawing/2014/chart" uri="{C3380CC4-5D6E-409C-BE32-E72D297353CC}">
              <c16:uniqueId val="{00000006-5AAC-49C9-AB84-37E19153F17E}"/>
            </c:ext>
          </c:extLst>
        </c:ser>
        <c:ser>
          <c:idx val="7"/>
          <c:order val="3"/>
          <c:tx>
            <c:strRef>
              <c:f>'P.E Gráfico'!$K$2</c:f>
              <c:strCache>
                <c:ptCount val="1"/>
                <c:pt idx="0">
                  <c:v>CT</c:v>
                </c:pt>
              </c:strCache>
            </c:strRef>
          </c:tx>
          <c:spPr>
            <a:ln w="25400" cap="rnd">
              <a:solidFill>
                <a:schemeClr val="accent2">
                  <a:lumMod val="60000"/>
                </a:schemeClr>
              </a:solidFill>
              <a:prstDash val="dashDot"/>
              <a:round/>
            </a:ln>
            <a:effectLst>
              <a:outerShdw blurRad="57150" dist="19050" dir="5400000" algn="ctr" rotWithShape="0">
                <a:srgbClr val="000000">
                  <a:alpha val="63000"/>
                </a:srgbClr>
              </a:outerShdw>
            </a:effectLst>
          </c:spPr>
          <c:marker>
            <c:symbol val="none"/>
          </c:marker>
          <c:xVal>
            <c:numRef>
              <c:f>'P.E Gráfico'!$C$3:$C$38</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xVal>
          <c:yVal>
            <c:numRef>
              <c:f>'P.E Gráfico'!$K$3:$K$38</c:f>
              <c:numCache>
                <c:formatCode>_-"$"* #,##0_-;\-"$"* #,##0_-;_-"$"* "-"??_-;_-@_-</c:formatCode>
                <c:ptCount val="36"/>
                <c:pt idx="0">
                  <c:v>8637385.9514242243</c:v>
                </c:pt>
                <c:pt idx="1">
                  <c:v>8790525.2361817807</c:v>
                </c:pt>
                <c:pt idx="2">
                  <c:v>8943664.520939339</c:v>
                </c:pt>
                <c:pt idx="3">
                  <c:v>9096803.8056968972</c:v>
                </c:pt>
                <c:pt idx="4">
                  <c:v>9249943.0904544555</c:v>
                </c:pt>
                <c:pt idx="5">
                  <c:v>9403082.3752120137</c:v>
                </c:pt>
                <c:pt idx="6">
                  <c:v>9556221.6599695701</c:v>
                </c:pt>
                <c:pt idx="7">
                  <c:v>9709360.9447271284</c:v>
                </c:pt>
                <c:pt idx="8">
                  <c:v>9862500.2294846866</c:v>
                </c:pt>
                <c:pt idx="9">
                  <c:v>10015639.514242243</c:v>
                </c:pt>
                <c:pt idx="10">
                  <c:v>10168778.798999801</c:v>
                </c:pt>
                <c:pt idx="11">
                  <c:v>10321918.083757358</c:v>
                </c:pt>
                <c:pt idx="12">
                  <c:v>10475057.368514918</c:v>
                </c:pt>
                <c:pt idx="13">
                  <c:v>10628196.653272476</c:v>
                </c:pt>
                <c:pt idx="14">
                  <c:v>10781335.938030032</c:v>
                </c:pt>
                <c:pt idx="15">
                  <c:v>10934475.222787591</c:v>
                </c:pt>
                <c:pt idx="16">
                  <c:v>11087614.507545149</c:v>
                </c:pt>
                <c:pt idx="17">
                  <c:v>11240753.792302705</c:v>
                </c:pt>
                <c:pt idx="18">
                  <c:v>11393893.077060264</c:v>
                </c:pt>
                <c:pt idx="19">
                  <c:v>11547032.361817822</c:v>
                </c:pt>
                <c:pt idx="20">
                  <c:v>11700171.646575378</c:v>
                </c:pt>
                <c:pt idx="21">
                  <c:v>11853310.931332938</c:v>
                </c:pt>
                <c:pt idx="22">
                  <c:v>12006450.216090495</c:v>
                </c:pt>
                <c:pt idx="23">
                  <c:v>12159589.500848053</c:v>
                </c:pt>
                <c:pt idx="24">
                  <c:v>12312728.785605611</c:v>
                </c:pt>
                <c:pt idx="25">
                  <c:v>12465868.070363168</c:v>
                </c:pt>
                <c:pt idx="26">
                  <c:v>12619007.355120726</c:v>
                </c:pt>
                <c:pt idx="27">
                  <c:v>12772146.639878282</c:v>
                </c:pt>
                <c:pt idx="28">
                  <c:v>12925285.924635841</c:v>
                </c:pt>
                <c:pt idx="29">
                  <c:v>13078425.209393401</c:v>
                </c:pt>
                <c:pt idx="30">
                  <c:v>13231564.494150955</c:v>
                </c:pt>
                <c:pt idx="31">
                  <c:v>13384703.778908515</c:v>
                </c:pt>
                <c:pt idx="32">
                  <c:v>13537843.063666074</c:v>
                </c:pt>
                <c:pt idx="33">
                  <c:v>13690982.34842363</c:v>
                </c:pt>
                <c:pt idx="34">
                  <c:v>13844121.633181188</c:v>
                </c:pt>
                <c:pt idx="35">
                  <c:v>13997260.917938747</c:v>
                </c:pt>
              </c:numCache>
            </c:numRef>
          </c:yVal>
          <c:smooth val="1"/>
          <c:extLst>
            <c:ext xmlns:c16="http://schemas.microsoft.com/office/drawing/2014/chart" uri="{C3380CC4-5D6E-409C-BE32-E72D297353CC}">
              <c16:uniqueId val="{00000007-5AAC-49C9-AB84-37E19153F17E}"/>
            </c:ext>
          </c:extLst>
        </c:ser>
        <c:ser>
          <c:idx val="0"/>
          <c:order val="4"/>
          <c:tx>
            <c:strRef>
              <c:f>'P.E Gráfico'!$D$2</c:f>
              <c:strCache>
                <c:ptCount val="1"/>
                <c:pt idx="0">
                  <c:v>Ingresos</c:v>
                </c:pt>
              </c:strCache>
            </c:strRef>
          </c:tx>
          <c:spPr>
            <a:ln w="25400" cap="rnd">
              <a:solidFill>
                <a:schemeClr val="accent1"/>
              </a:solidFill>
              <a:prstDash val="sysDash"/>
              <a:round/>
            </a:ln>
            <a:effectLst>
              <a:outerShdw blurRad="57150" dist="19050" dir="5400000" algn="ctr" rotWithShape="0">
                <a:srgbClr val="000000">
                  <a:alpha val="63000"/>
                </a:srgbClr>
              </a:outerShdw>
            </a:effectLst>
          </c:spPr>
          <c:marker>
            <c:symbol val="none"/>
          </c:marker>
          <c:xVal>
            <c:numRef>
              <c:f>'P.E Gráfico'!$C$3:$C$38</c:f>
              <c:numCache>
                <c:formatCode>General</c:formatCode>
                <c:ptCount val="3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numCache>
            </c:numRef>
          </c:xVal>
          <c:yVal>
            <c:numRef>
              <c:f>'P.E Gráfico'!$D$3:$D$38</c:f>
              <c:numCache>
                <c:formatCode>_-"$"* #,##0_-;\-"$"* #,##0_-;_-"$"* "-"??_-;_-@_-</c:formatCode>
                <c:ptCount val="36"/>
                <c:pt idx="0">
                  <c:v>651786.79403105774</c:v>
                </c:pt>
                <c:pt idx="1">
                  <c:v>1303573.5880621155</c:v>
                </c:pt>
                <c:pt idx="2">
                  <c:v>1955360.3820931732</c:v>
                </c:pt>
                <c:pt idx="3">
                  <c:v>2607147.176124231</c:v>
                </c:pt>
                <c:pt idx="4">
                  <c:v>3258933.9701552885</c:v>
                </c:pt>
                <c:pt idx="5">
                  <c:v>3910720.7641863464</c:v>
                </c:pt>
                <c:pt idx="6">
                  <c:v>4562507.5582174044</c:v>
                </c:pt>
                <c:pt idx="7">
                  <c:v>5214294.3522484619</c:v>
                </c:pt>
                <c:pt idx="8">
                  <c:v>5866081.1462795194</c:v>
                </c:pt>
                <c:pt idx="9">
                  <c:v>6517867.9403105769</c:v>
                </c:pt>
                <c:pt idx="10">
                  <c:v>7169654.7343416354</c:v>
                </c:pt>
                <c:pt idx="11">
                  <c:v>7821441.5283726929</c:v>
                </c:pt>
                <c:pt idx="12">
                  <c:v>8473228.3224037513</c:v>
                </c:pt>
                <c:pt idx="13">
                  <c:v>9125015.1164348088</c:v>
                </c:pt>
                <c:pt idx="14">
                  <c:v>9776801.9104658663</c:v>
                </c:pt>
                <c:pt idx="15">
                  <c:v>10428588.704496924</c:v>
                </c:pt>
                <c:pt idx="16">
                  <c:v>11080375.498527981</c:v>
                </c:pt>
                <c:pt idx="17">
                  <c:v>11732162.292559039</c:v>
                </c:pt>
                <c:pt idx="18">
                  <c:v>12383949.086590096</c:v>
                </c:pt>
                <c:pt idx="19">
                  <c:v>13035735.880621154</c:v>
                </c:pt>
                <c:pt idx="20">
                  <c:v>13687522.674652213</c:v>
                </c:pt>
                <c:pt idx="21">
                  <c:v>14339309.468683271</c:v>
                </c:pt>
                <c:pt idx="22">
                  <c:v>14991096.262714328</c:v>
                </c:pt>
                <c:pt idx="23">
                  <c:v>15642883.056745386</c:v>
                </c:pt>
                <c:pt idx="24">
                  <c:v>16294669.850776443</c:v>
                </c:pt>
                <c:pt idx="25">
                  <c:v>16946456.644807503</c:v>
                </c:pt>
                <c:pt idx="26">
                  <c:v>17598243.43883856</c:v>
                </c:pt>
                <c:pt idx="27">
                  <c:v>18250030.232869618</c:v>
                </c:pt>
                <c:pt idx="28">
                  <c:v>18901817.026900675</c:v>
                </c:pt>
                <c:pt idx="29">
                  <c:v>19553603.820931733</c:v>
                </c:pt>
                <c:pt idx="30">
                  <c:v>20205390.61496279</c:v>
                </c:pt>
                <c:pt idx="31">
                  <c:v>20857177.408993848</c:v>
                </c:pt>
                <c:pt idx="32">
                  <c:v>21508964.203024905</c:v>
                </c:pt>
                <c:pt idx="33">
                  <c:v>22160750.997055963</c:v>
                </c:pt>
                <c:pt idx="34">
                  <c:v>22812537.79108702</c:v>
                </c:pt>
                <c:pt idx="35">
                  <c:v>23464324.585118078</c:v>
                </c:pt>
              </c:numCache>
            </c:numRef>
          </c:yVal>
          <c:smooth val="1"/>
          <c:extLst>
            <c:ext xmlns:c16="http://schemas.microsoft.com/office/drawing/2014/chart" uri="{C3380CC4-5D6E-409C-BE32-E72D297353CC}">
              <c16:uniqueId val="{00000008-5AAC-49C9-AB84-37E19153F17E}"/>
            </c:ext>
          </c:extLst>
        </c:ser>
        <c:dLbls>
          <c:showLegendKey val="0"/>
          <c:showVal val="0"/>
          <c:showCatName val="0"/>
          <c:showSerName val="0"/>
          <c:showPercent val="0"/>
          <c:showBubbleSize val="0"/>
        </c:dLbls>
        <c:axId val="1463361391"/>
        <c:axId val="1036913807"/>
      </c:scatterChart>
      <c:valAx>
        <c:axId val="1463361391"/>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036913807"/>
        <c:crosses val="autoZero"/>
        <c:crossBetween val="midCat"/>
        <c:majorUnit val="1"/>
      </c:valAx>
      <c:valAx>
        <c:axId val="1036913807"/>
        <c:scaling>
          <c:orientation val="minMax"/>
          <c:max val="25000000"/>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crossAx val="1463361391"/>
        <c:crosses val="autoZero"/>
        <c:crossBetween val="midCat"/>
      </c:valAx>
      <c:spPr>
        <a:noFill/>
        <a:ln>
          <a:noFill/>
        </a:ln>
        <a:effectLst/>
      </c:spPr>
    </c:plotArea>
    <c:legend>
      <c:legendPos val="b"/>
      <c:layout>
        <c:manualLayout>
          <c:xMode val="edge"/>
          <c:yMode val="edge"/>
          <c:x val="0.18818266406060974"/>
          <c:y val="0.93362820475303698"/>
          <c:w val="0.61937179052097457"/>
          <c:h val="4.7284777495790777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Times New Roman" panose="02020603050405020304" pitchFamily="18" charset="0"/>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Tasa</a:t>
            </a:r>
            <a:r>
              <a:rPr lang="es-CO" baseline="0"/>
              <a:t> Interna de Retorno (TIR) x Cohorte  </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lineChart>
        <c:grouping val="standard"/>
        <c:varyColors val="0"/>
        <c:ser>
          <c:idx val="0"/>
          <c:order val="0"/>
          <c:spPr>
            <a:ln w="31750" cap="rnd">
              <a:solidFill>
                <a:schemeClr val="accent1"/>
              </a:solidFill>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FC-40C4-9628-51EFE0E4510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'Proyección - TIR'!$D$59:$O$59</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f>'Proyección - TIR'!$D$66:$O$66</c:f>
              <c:numCache>
                <c:formatCode>0.00%</c:formatCode>
                <c:ptCount val="12"/>
                <c:pt idx="0">
                  <c:v>0.9968639919427964</c:v>
                </c:pt>
                <c:pt idx="1">
                  <c:v>1.7286719916142652</c:v>
                </c:pt>
                <c:pt idx="2">
                  <c:v>1.8877937462127998</c:v>
                </c:pt>
                <c:pt idx="3">
                  <c:v>1.9539072479159612</c:v>
                </c:pt>
                <c:pt idx="4">
                  <c:v>1.9754653821475912</c:v>
                </c:pt>
                <c:pt idx="5">
                  <c:v>1.9834408546242699</c:v>
                </c:pt>
                <c:pt idx="6">
                  <c:v>1.9857415787502797</c:v>
                </c:pt>
                <c:pt idx="7">
                  <c:v>1.9867264780662892</c:v>
                </c:pt>
                <c:pt idx="8">
                  <c:v>1.987105655923266</c:v>
                </c:pt>
                <c:pt idx="9">
                  <c:v>1.9872451426007625</c:v>
                </c:pt>
                <c:pt idx="10">
                  <c:v>1.9872833014126705</c:v>
                </c:pt>
                <c:pt idx="11">
                  <c:v>1.9872989215468415</c:v>
                </c:pt>
              </c:numCache>
            </c:numRef>
          </c:val>
          <c:smooth val="0"/>
          <c:extLst>
            <c:ext xmlns:c16="http://schemas.microsoft.com/office/drawing/2014/chart" uri="{C3380CC4-5D6E-409C-BE32-E72D297353CC}">
              <c16:uniqueId val="{00000000-2D00-4AD7-B6F3-13BA283B5478}"/>
            </c:ext>
          </c:extLst>
        </c:ser>
        <c:dLbls>
          <c:showLegendKey val="0"/>
          <c:showVal val="0"/>
          <c:showCatName val="0"/>
          <c:showSerName val="0"/>
          <c:showPercent val="0"/>
          <c:showBubbleSize val="0"/>
        </c:dLbls>
        <c:smooth val="0"/>
        <c:axId val="959895183"/>
        <c:axId val="959898543"/>
      </c:lineChart>
      <c:catAx>
        <c:axId val="959895183"/>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959898543"/>
        <c:crosses val="autoZero"/>
        <c:auto val="1"/>
        <c:lblAlgn val="ctr"/>
        <c:lblOffset val="100"/>
        <c:noMultiLvlLbl val="0"/>
      </c:catAx>
      <c:valAx>
        <c:axId val="959898543"/>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9598951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Flujo de Caja Libre (FCL)</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cat>
            <c:strRef>
              <c:extLst>
                <c:ext xmlns:c15="http://schemas.microsoft.com/office/drawing/2012/chart" uri="{02D57815-91ED-43cb-92C2-25804820EDAC}">
                  <c15:fullRef>
                    <c15:sqref>'Proyección - TIR'!$C$59:$O$59</c15:sqref>
                  </c15:fullRef>
                </c:ext>
              </c:extLst>
              <c:f>'Proyección - TIR'!$C$59:$O$59</c:f>
              <c:strCache>
                <c:ptCount val="13"/>
                <c:pt idx="0">
                  <c:v>2024- Inicio</c:v>
                </c:pt>
                <c:pt idx="1">
                  <c:v>2024-1</c:v>
                </c:pt>
                <c:pt idx="2">
                  <c:v>2024-2</c:v>
                </c:pt>
                <c:pt idx="3">
                  <c:v>2024-3</c:v>
                </c:pt>
                <c:pt idx="4">
                  <c:v>2024-4</c:v>
                </c:pt>
                <c:pt idx="5">
                  <c:v>2025-1</c:v>
                </c:pt>
                <c:pt idx="6">
                  <c:v>2025-2</c:v>
                </c:pt>
                <c:pt idx="7">
                  <c:v>2025-3</c:v>
                </c:pt>
                <c:pt idx="8">
                  <c:v>2025-4</c:v>
                </c:pt>
                <c:pt idx="9">
                  <c:v>2026-1</c:v>
                </c:pt>
                <c:pt idx="10">
                  <c:v>2026-2</c:v>
                </c:pt>
                <c:pt idx="11">
                  <c:v>2026-3</c:v>
                </c:pt>
                <c:pt idx="12">
                  <c:v>2026-4</c:v>
                </c:pt>
              </c:strCache>
            </c:strRef>
          </c:cat>
          <c:val>
            <c:numRef>
              <c:extLst>
                <c:ext xmlns:c15="http://schemas.microsoft.com/office/drawing/2012/chart" uri="{02D57815-91ED-43cb-92C2-25804820EDAC}">
                  <c15:fullRef>
                    <c15:sqref>'Proyección - TIR'!$C$62:$W$62</c15:sqref>
                  </c15:fullRef>
                </c:ext>
              </c:extLst>
              <c:f>'Proyección - TIR'!$C$62:$O$62</c:f>
              <c:numCache>
                <c:formatCode>_-"$"* #,##0_-;\-"$"* #,##0_-;_-"$"* "-"??_-;_-@_-</c:formatCode>
                <c:ptCount val="13"/>
                <c:pt idx="0">
                  <c:v>-1494666.6666666665</c:v>
                </c:pt>
                <c:pt idx="1">
                  <c:v>2984646.0466238335</c:v>
                </c:pt>
                <c:pt idx="2">
                  <c:v>2984646.0466238335</c:v>
                </c:pt>
                <c:pt idx="3">
                  <c:v>2485998.5373503324</c:v>
                </c:pt>
                <c:pt idx="4">
                  <c:v>3483293.5558973323</c:v>
                </c:pt>
                <c:pt idx="5">
                  <c:v>3650491.6465804055</c:v>
                </c:pt>
                <c:pt idx="6">
                  <c:v>4173074.2362990328</c:v>
                </c:pt>
                <c:pt idx="7">
                  <c:v>3650491.6465804055</c:v>
                </c:pt>
                <c:pt idx="8">
                  <c:v>4695656.8260176601</c:v>
                </c:pt>
                <c:pt idx="9">
                  <c:v>5416055.7058963832</c:v>
                </c:pt>
                <c:pt idx="10">
                  <c:v>5959466.7178718019</c:v>
                </c:pt>
                <c:pt idx="11">
                  <c:v>4872644.6939209616</c:v>
                </c:pt>
                <c:pt idx="12">
                  <c:v>5959466.7178718019</c:v>
                </c:pt>
              </c:numCache>
            </c:numRef>
          </c:val>
          <c:extLst>
            <c:ext xmlns:c16="http://schemas.microsoft.com/office/drawing/2014/chart" uri="{C3380CC4-5D6E-409C-BE32-E72D297353CC}">
              <c16:uniqueId val="{00000000-78FE-4827-A548-BF0CFB4C63E1}"/>
            </c:ext>
          </c:extLst>
        </c:ser>
        <c:dLbls>
          <c:showLegendKey val="0"/>
          <c:showVal val="0"/>
          <c:showCatName val="0"/>
          <c:showSerName val="0"/>
          <c:showPercent val="0"/>
          <c:showBubbleSize val="0"/>
        </c:dLbls>
        <c:gapWidth val="247"/>
        <c:overlap val="-27"/>
        <c:axId val="45700688"/>
        <c:axId val="45709328"/>
      </c:barChart>
      <c:lineChart>
        <c:grouping val="standard"/>
        <c:varyColors val="0"/>
        <c:ser>
          <c:idx val="1"/>
          <c:order val="1"/>
          <c:tx>
            <c:strRef>
              <c:f>'Proyección - TIR'!$B$62</c:f>
              <c:strCache>
                <c:ptCount val="1"/>
                <c:pt idx="0">
                  <c:v>(=) FCL</c:v>
                </c:pt>
              </c:strCache>
            </c:strRef>
          </c:tx>
          <c:spPr>
            <a:ln w="31750" cap="rnd">
              <a:solidFill>
                <a:schemeClr val="accent2"/>
              </a:solidFill>
              <a:round/>
            </a:ln>
            <a:effectLst/>
          </c:spPr>
          <c:marker>
            <c:symbol val="none"/>
          </c:marker>
          <c:cat>
            <c:strLit>
              <c:ptCount val="13"/>
              <c:pt idx="0">
                <c:v>2024- Inicio</c:v>
              </c:pt>
              <c:pt idx="1">
                <c:v>2024-1</c:v>
              </c:pt>
              <c:pt idx="2">
                <c:v>2024-2</c:v>
              </c:pt>
              <c:pt idx="3">
                <c:v>2024-3</c:v>
              </c:pt>
              <c:pt idx="4">
                <c:v>2024-4</c:v>
              </c:pt>
              <c:pt idx="5">
                <c:v>2025-1</c:v>
              </c:pt>
              <c:pt idx="6">
                <c:v>2025-2</c:v>
              </c:pt>
              <c:pt idx="7">
                <c:v>2025-3</c:v>
              </c:pt>
              <c:pt idx="8">
                <c:v>2025-4</c:v>
              </c:pt>
              <c:pt idx="9">
                <c:v>2026-1</c:v>
              </c:pt>
              <c:pt idx="10">
                <c:v>2026-2</c:v>
              </c:pt>
              <c:pt idx="11">
                <c:v>2026-3</c:v>
              </c:pt>
              <c:pt idx="12">
                <c:v>2026-4</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'Proyección - TIR'!$C$62:$W$62</c15:sqref>
                  </c15:fullRef>
                </c:ext>
              </c:extLst>
              <c:f>'Proyección - TIR'!$C$62:$O$62</c:f>
              <c:numCache>
                <c:formatCode>_-"$"* #,##0_-;\-"$"* #,##0_-;_-"$"* "-"??_-;_-@_-</c:formatCode>
                <c:ptCount val="13"/>
                <c:pt idx="0">
                  <c:v>-1494666.6666666665</c:v>
                </c:pt>
                <c:pt idx="1">
                  <c:v>2984646.0466238335</c:v>
                </c:pt>
                <c:pt idx="2">
                  <c:v>2984646.0466238335</c:v>
                </c:pt>
                <c:pt idx="3">
                  <c:v>2485998.5373503324</c:v>
                </c:pt>
                <c:pt idx="4">
                  <c:v>3483293.5558973323</c:v>
                </c:pt>
                <c:pt idx="5">
                  <c:v>3650491.6465804055</c:v>
                </c:pt>
                <c:pt idx="6">
                  <c:v>4173074.2362990328</c:v>
                </c:pt>
                <c:pt idx="7">
                  <c:v>3650491.6465804055</c:v>
                </c:pt>
                <c:pt idx="8">
                  <c:v>4695656.8260176601</c:v>
                </c:pt>
                <c:pt idx="9">
                  <c:v>5416055.7058963832</c:v>
                </c:pt>
                <c:pt idx="10">
                  <c:v>5959466.7178718019</c:v>
                </c:pt>
                <c:pt idx="11">
                  <c:v>4872644.6939209616</c:v>
                </c:pt>
                <c:pt idx="12">
                  <c:v>5959466.7178718019</c:v>
                </c:pt>
              </c:numCache>
            </c:numRef>
          </c:val>
          <c:smooth val="0"/>
          <c:extLst>
            <c:ext xmlns:c16="http://schemas.microsoft.com/office/drawing/2014/chart" uri="{C3380CC4-5D6E-409C-BE32-E72D297353CC}">
              <c16:uniqueId val="{00000001-78FE-4827-A548-BF0CFB4C63E1}"/>
            </c:ext>
          </c:extLst>
        </c:ser>
        <c:dLbls>
          <c:showLegendKey val="0"/>
          <c:showVal val="0"/>
          <c:showCatName val="0"/>
          <c:showSerName val="0"/>
          <c:showPercent val="0"/>
          <c:showBubbleSize val="0"/>
        </c:dLbls>
        <c:marker val="1"/>
        <c:smooth val="0"/>
        <c:axId val="45700688"/>
        <c:axId val="45709328"/>
      </c:lineChart>
      <c:catAx>
        <c:axId val="45700688"/>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45709328"/>
        <c:crosses val="autoZero"/>
        <c:auto val="1"/>
        <c:lblAlgn val="ctr"/>
        <c:lblOffset val="100"/>
        <c:noMultiLvlLbl val="0"/>
      </c:catAx>
      <c:valAx>
        <c:axId val="45709328"/>
        <c:scaling>
          <c:orientation val="minMax"/>
        </c:scaling>
        <c:delete val="0"/>
        <c:axPos val="l"/>
        <c:majorGridlines>
          <c:spPr>
            <a:ln w="9525" cap="flat" cmpd="sng" algn="ctr">
              <a:solidFill>
                <a:schemeClr val="tx2">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4570068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Tasa</a:t>
            </a:r>
            <a:r>
              <a:rPr lang="es-CO" baseline="0"/>
              <a:t> Interna de Retorno (TIR) </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10430268358998021"/>
          <c:y val="0.13159867341366849"/>
          <c:w val="0.86975204585500032"/>
          <c:h val="0.74475770754693116"/>
        </c:manualLayout>
      </c:layout>
      <c:lineChart>
        <c:grouping val="standard"/>
        <c:varyColors val="0"/>
        <c:ser>
          <c:idx val="0"/>
          <c:order val="0"/>
          <c:tx>
            <c:v>Pesimista</c:v>
          </c:tx>
          <c:spPr>
            <a:ln w="31750" cap="rnd">
              <a:solidFill>
                <a:schemeClr val="accent1"/>
              </a:solidFill>
              <a:round/>
            </a:ln>
            <a:effectLst/>
          </c:spPr>
          <c:marker>
            <c:symbol val="none"/>
          </c:marker>
          <c:dLbls>
            <c:dLbl>
              <c:idx val="11"/>
              <c:layout>
                <c:manualLayout>
                  <c:x val="-2.0117436407760984E-2"/>
                  <c:y val="5.39672022818860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97C-4353-96CF-3C48215BAF4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'Proyección - TIR'!$D$120:$W$120</c15:sqref>
                  </c15:fullRef>
                </c:ext>
              </c:extLst>
              <c:f>'Proyección - TIR'!$D$120:$O$120</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extLst>
                <c:ext xmlns:c15="http://schemas.microsoft.com/office/drawing/2012/chart" uri="{02D57815-91ED-43cb-92C2-25804820EDAC}">
                  <c15:fullRef>
                    <c15:sqref>'Proyección - TIR'!$D$122:$W$122</c15:sqref>
                  </c15:fullRef>
                </c:ext>
              </c:extLst>
              <c:f>'Proyección - TIR'!$D$122:$O$122</c:f>
              <c:numCache>
                <c:formatCode>0.00%</c:formatCode>
                <c:ptCount val="12"/>
                <c:pt idx="0">
                  <c:v>0.9968639919427964</c:v>
                </c:pt>
                <c:pt idx="1">
                  <c:v>1.6294171500432504</c:v>
                </c:pt>
                <c:pt idx="2">
                  <c:v>1.7028910663864245</c:v>
                </c:pt>
                <c:pt idx="3">
                  <c:v>1.7404005651645038</c:v>
                </c:pt>
                <c:pt idx="4">
                  <c:v>1.7539754610784173</c:v>
                </c:pt>
                <c:pt idx="5">
                  <c:v>1.7587777033601588</c:v>
                </c:pt>
                <c:pt idx="6">
                  <c:v>1.7593470286247275</c:v>
                </c:pt>
                <c:pt idx="7">
                  <c:v>1.7597618255933258</c:v>
                </c:pt>
                <c:pt idx="8">
                  <c:v>1.7599164254471367</c:v>
                </c:pt>
                <c:pt idx="9">
                  <c:v>1.7599724079151744</c:v>
                </c:pt>
                <c:pt idx="10">
                  <c:v>1.7599720653272457</c:v>
                </c:pt>
                <c:pt idx="11">
                  <c:v>1.7599756772017621</c:v>
                </c:pt>
              </c:numCache>
            </c:numRef>
          </c:val>
          <c:smooth val="0"/>
          <c:extLst>
            <c:ext xmlns:c16="http://schemas.microsoft.com/office/drawing/2014/chart" uri="{C3380CC4-5D6E-409C-BE32-E72D297353CC}">
              <c16:uniqueId val="{00000000-99D2-4226-8B73-DA3799929C4B}"/>
            </c:ext>
          </c:extLst>
        </c:ser>
        <c:ser>
          <c:idx val="1"/>
          <c:order val="1"/>
          <c:tx>
            <c:v>Moderado</c:v>
          </c:tx>
          <c:spPr>
            <a:ln w="31750" cap="rnd">
              <a:solidFill>
                <a:schemeClr val="accent2"/>
              </a:solidFill>
              <a:round/>
            </a:ln>
            <a:effectLst/>
          </c:spPr>
          <c:marker>
            <c:symbol val="none"/>
          </c:marker>
          <c:dLbls>
            <c:dLbl>
              <c:idx val="11"/>
              <c:layout>
                <c:manualLayout>
                  <c:x val="-1.981500760932791E-2"/>
                  <c:y val="6.2312793898567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7C-4353-96CF-3C48215BAF4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'Proyección - TIR'!$D$120:$W$120</c15:sqref>
                  </c15:fullRef>
                </c:ext>
              </c:extLst>
              <c:f>'Proyección - TIR'!$D$120:$O$120</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extLst>
                <c:ext xmlns:c15="http://schemas.microsoft.com/office/drawing/2012/chart" uri="{02D57815-91ED-43cb-92C2-25804820EDAC}">
                  <c15:fullRef>
                    <c15:sqref>'Proyección - TIR'!$D$123:$W$123</c15:sqref>
                  </c15:fullRef>
                </c:ext>
              </c:extLst>
              <c:f>'Proyección - TIR'!$D$123:$O$123</c:f>
              <c:numCache>
                <c:formatCode>0.00%</c:formatCode>
                <c:ptCount val="12"/>
                <c:pt idx="0">
                  <c:v>0.9968639919427964</c:v>
                </c:pt>
                <c:pt idx="1">
                  <c:v>1.7286719916142652</c:v>
                </c:pt>
                <c:pt idx="2">
                  <c:v>1.8877937462127998</c:v>
                </c:pt>
                <c:pt idx="3">
                  <c:v>1.9539072479159612</c:v>
                </c:pt>
                <c:pt idx="4">
                  <c:v>1.9754653821475912</c:v>
                </c:pt>
                <c:pt idx="5">
                  <c:v>1.9834408546242699</c:v>
                </c:pt>
                <c:pt idx="6">
                  <c:v>1.9857415787502797</c:v>
                </c:pt>
                <c:pt idx="7">
                  <c:v>1.9867264780662892</c:v>
                </c:pt>
                <c:pt idx="8">
                  <c:v>1.987105655923266</c:v>
                </c:pt>
                <c:pt idx="9">
                  <c:v>1.9872451426007625</c:v>
                </c:pt>
                <c:pt idx="10">
                  <c:v>1.9872833014126705</c:v>
                </c:pt>
                <c:pt idx="11">
                  <c:v>1.9872989215468415</c:v>
                </c:pt>
              </c:numCache>
            </c:numRef>
          </c:val>
          <c:smooth val="0"/>
          <c:extLst>
            <c:ext xmlns:c16="http://schemas.microsoft.com/office/drawing/2014/chart" uri="{C3380CC4-5D6E-409C-BE32-E72D297353CC}">
              <c16:uniqueId val="{00000001-99D2-4226-8B73-DA3799929C4B}"/>
            </c:ext>
          </c:extLst>
        </c:ser>
        <c:ser>
          <c:idx val="2"/>
          <c:order val="2"/>
          <c:tx>
            <c:v>Optimista</c:v>
          </c:tx>
          <c:spPr>
            <a:ln w="31750" cap="rnd">
              <a:solidFill>
                <a:schemeClr val="accent3"/>
              </a:solidFill>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97C-4353-96CF-3C48215BAF4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'Proyección - TIR'!$D$120:$W$120</c15:sqref>
                  </c15:fullRef>
                </c:ext>
              </c:extLst>
              <c:f>'Proyección - TIR'!$D$120:$O$120</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extLst>
                <c:ext xmlns:c15="http://schemas.microsoft.com/office/drawing/2012/chart" uri="{02D57815-91ED-43cb-92C2-25804820EDAC}">
                  <c15:fullRef>
                    <c15:sqref>'Proyección - TIR'!$D$124:$W$124</c15:sqref>
                  </c15:fullRef>
                </c:ext>
              </c:extLst>
              <c:f>'Proyección - TIR'!$D$124:$O$124</c:f>
              <c:numCache>
                <c:formatCode>0.00%</c:formatCode>
                <c:ptCount val="12"/>
                <c:pt idx="0">
                  <c:v>0.9968639919427964</c:v>
                </c:pt>
                <c:pt idx="1">
                  <c:v>1.8225340523929519</c:v>
                </c:pt>
                <c:pt idx="2">
                  <c:v>1.9968487583069443</c:v>
                </c:pt>
                <c:pt idx="3">
                  <c:v>2.0709779062055116</c:v>
                </c:pt>
                <c:pt idx="4">
                  <c:v>2.0991078332454745</c:v>
                </c:pt>
                <c:pt idx="5">
                  <c:v>2.108570059637052</c:v>
                </c:pt>
                <c:pt idx="6">
                  <c:v>2.1113091377495117</c:v>
                </c:pt>
                <c:pt idx="7">
                  <c:v>2.1124219853083255</c:v>
                </c:pt>
                <c:pt idx="8">
                  <c:v>2.1128450547525111</c:v>
                </c:pt>
                <c:pt idx="9">
                  <c:v>2.1129892755127235</c:v>
                </c:pt>
                <c:pt idx="10">
                  <c:v>2.1130328508819725</c:v>
                </c:pt>
                <c:pt idx="11">
                  <c:v>2.1130503519795707</c:v>
                </c:pt>
              </c:numCache>
            </c:numRef>
          </c:val>
          <c:smooth val="0"/>
          <c:extLst>
            <c:ext xmlns:c16="http://schemas.microsoft.com/office/drawing/2014/chart" uri="{C3380CC4-5D6E-409C-BE32-E72D297353CC}">
              <c16:uniqueId val="{00000002-99D2-4226-8B73-DA3799929C4B}"/>
            </c:ext>
          </c:extLst>
        </c:ser>
        <c:dLbls>
          <c:showLegendKey val="0"/>
          <c:showVal val="0"/>
          <c:showCatName val="0"/>
          <c:showSerName val="0"/>
          <c:showPercent val="0"/>
          <c:showBubbleSize val="0"/>
        </c:dLbls>
        <c:smooth val="0"/>
        <c:axId val="45709808"/>
        <c:axId val="45687248"/>
      </c:lineChart>
      <c:catAx>
        <c:axId val="45709808"/>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2"/>
                </a:solidFill>
                <a:latin typeface="+mn-lt"/>
                <a:ea typeface="+mn-ea"/>
                <a:cs typeface="+mn-cs"/>
              </a:defRPr>
            </a:pPr>
            <a:endParaRPr lang="es-CO"/>
          </a:p>
        </c:txPr>
        <c:crossAx val="45687248"/>
        <c:crosses val="autoZero"/>
        <c:auto val="1"/>
        <c:lblAlgn val="ctr"/>
        <c:lblOffset val="100"/>
        <c:noMultiLvlLbl val="0"/>
      </c:catAx>
      <c:valAx>
        <c:axId val="45687248"/>
        <c:scaling>
          <c:orientation val="minMax"/>
          <c:min val="0.60000000000000009"/>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45709808"/>
        <c:crosses val="autoZero"/>
        <c:crossBetween val="between"/>
      </c:valAx>
      <c:spPr>
        <a:noFill/>
        <a:ln>
          <a:noFill/>
        </a:ln>
        <a:effectLst/>
      </c:spPr>
    </c:plotArea>
    <c:legend>
      <c:legendPos val="b"/>
      <c:layout>
        <c:manualLayout>
          <c:xMode val="edge"/>
          <c:yMode val="edge"/>
          <c:x val="0.22880279448010765"/>
          <c:y val="0.93587047338637508"/>
          <c:w val="0.5238886978699161"/>
          <c:h val="6.412942169607775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sz="2400"/>
              <a:t>Utilidad Neta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lineChart>
        <c:grouping val="standard"/>
        <c:varyColors val="0"/>
        <c:ser>
          <c:idx val="0"/>
          <c:order val="0"/>
          <c:tx>
            <c:v>Pesimista</c:v>
          </c:tx>
          <c:spPr>
            <a:ln w="31750" cap="rnd">
              <a:solidFill>
                <a:schemeClr val="accent1"/>
              </a:solidFill>
              <a:round/>
            </a:ln>
            <a:effectLst/>
          </c:spPr>
          <c:marker>
            <c:symbol val="none"/>
          </c:marker>
          <c:dLbls>
            <c:dLbl>
              <c:idx val="11"/>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0E-46DD-ADFE-C9232BC4D0A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'Proyección - TIR'!$D$146:$O$146</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f>'Proyección - TIR'!$D$148:$O$148</c:f>
              <c:numCache>
                <c:formatCode>_-"$"* #,##0.00_-;\-"$"* #,##0.00_-;_-"$"* "-"??_-;_-@_-</c:formatCode>
                <c:ptCount val="12"/>
                <c:pt idx="0">
                  <c:v>2984646.0466238335</c:v>
                </c:pt>
                <c:pt idx="1">
                  <c:v>2485998.5373503324</c:v>
                </c:pt>
                <c:pt idx="2">
                  <c:v>990056.00952983159</c:v>
                </c:pt>
                <c:pt idx="3">
                  <c:v>1488703.5188033325</c:v>
                </c:pt>
                <c:pt idx="4">
                  <c:v>1560161.2877058915</c:v>
                </c:pt>
                <c:pt idx="5">
                  <c:v>1560161.2877058915</c:v>
                </c:pt>
                <c:pt idx="6">
                  <c:v>514996.10826863674</c:v>
                </c:pt>
                <c:pt idx="7">
                  <c:v>1037578.6979872638</c:v>
                </c:pt>
                <c:pt idx="8">
                  <c:v>1068767.6100930099</c:v>
                </c:pt>
                <c:pt idx="9">
                  <c:v>1068767.6100930099</c:v>
                </c:pt>
                <c:pt idx="10">
                  <c:v>-18054.413857832085</c:v>
                </c:pt>
                <c:pt idx="11">
                  <c:v>525356.59811758972</c:v>
                </c:pt>
              </c:numCache>
            </c:numRef>
          </c:val>
          <c:smooth val="0"/>
          <c:extLst>
            <c:ext xmlns:c16="http://schemas.microsoft.com/office/drawing/2014/chart" uri="{C3380CC4-5D6E-409C-BE32-E72D297353CC}">
              <c16:uniqueId val="{00000000-5D1A-4372-A7AD-84DF2351B843}"/>
            </c:ext>
          </c:extLst>
        </c:ser>
        <c:ser>
          <c:idx val="1"/>
          <c:order val="1"/>
          <c:tx>
            <c:v>Moderado</c:v>
          </c:tx>
          <c:spPr>
            <a:ln w="31750" cap="rnd">
              <a:solidFill>
                <a:schemeClr val="accent2"/>
              </a:solidFill>
              <a:round/>
            </a:ln>
            <a:effectLst/>
          </c:spPr>
          <c:marker>
            <c:symbol val="none"/>
          </c:marker>
          <c:dLbls>
            <c:dLbl>
              <c:idx val="11"/>
              <c:layout>
                <c:manualLayout>
                  <c:x val="0"/>
                  <c:y val="-3.75808479175448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A0C-4E48-B2FA-F713AA9E216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'Proyección - TIR'!$D$146:$O$146</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f>'Proyección - TIR'!$D$149:$O$149</c:f>
              <c:numCache>
                <c:formatCode>_-"$"* #,##0.00_-;\-"$"* #,##0.00_-;_-"$"* "-"??_-;_-@_-</c:formatCode>
                <c:ptCount val="12"/>
                <c:pt idx="0">
                  <c:v>2984646.0466238335</c:v>
                </c:pt>
                <c:pt idx="1">
                  <c:v>2984646.0466238335</c:v>
                </c:pt>
                <c:pt idx="2">
                  <c:v>2485998.5373503324</c:v>
                </c:pt>
                <c:pt idx="3">
                  <c:v>3483293.5558973323</c:v>
                </c:pt>
                <c:pt idx="4">
                  <c:v>3650491.6465804055</c:v>
                </c:pt>
                <c:pt idx="5">
                  <c:v>4173074.2362990328</c:v>
                </c:pt>
                <c:pt idx="6">
                  <c:v>3650491.6465804055</c:v>
                </c:pt>
                <c:pt idx="7">
                  <c:v>4695656.8260176601</c:v>
                </c:pt>
                <c:pt idx="8">
                  <c:v>5416055.7058963832</c:v>
                </c:pt>
                <c:pt idx="9">
                  <c:v>5959466.7178718019</c:v>
                </c:pt>
                <c:pt idx="10">
                  <c:v>4872644.6939209616</c:v>
                </c:pt>
                <c:pt idx="11">
                  <c:v>5959466.7178718019</c:v>
                </c:pt>
              </c:numCache>
            </c:numRef>
          </c:val>
          <c:smooth val="0"/>
          <c:extLst>
            <c:ext xmlns:c16="http://schemas.microsoft.com/office/drawing/2014/chart" uri="{C3380CC4-5D6E-409C-BE32-E72D297353CC}">
              <c16:uniqueId val="{00000001-5D1A-4372-A7AD-84DF2351B843}"/>
            </c:ext>
          </c:extLst>
        </c:ser>
        <c:ser>
          <c:idx val="2"/>
          <c:order val="2"/>
          <c:tx>
            <c:v>Optimista</c:v>
          </c:tx>
          <c:spPr>
            <a:ln w="31750" cap="rnd">
              <a:solidFill>
                <a:schemeClr val="accent3"/>
              </a:solidFill>
              <a:round/>
            </a:ln>
            <a:effectLst/>
          </c:spPr>
          <c:marker>
            <c:symbol val="none"/>
          </c:marker>
          <c:dLbls>
            <c:dLbl>
              <c:idx val="11"/>
              <c:layout>
                <c:manualLayout>
                  <c:x val="-9.4963182699293325E-3"/>
                  <c:y val="-4.78301700768752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A0C-4E48-B2FA-F713AA9E216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'Proyección - TIR'!$D$146:$O$146</c:f>
              <c:strCache>
                <c:ptCount val="12"/>
                <c:pt idx="0">
                  <c:v>2024-1</c:v>
                </c:pt>
                <c:pt idx="1">
                  <c:v>2024-2</c:v>
                </c:pt>
                <c:pt idx="2">
                  <c:v>2024-3</c:v>
                </c:pt>
                <c:pt idx="3">
                  <c:v>2024-4</c:v>
                </c:pt>
                <c:pt idx="4">
                  <c:v>2025-1</c:v>
                </c:pt>
                <c:pt idx="5">
                  <c:v>2025-2</c:v>
                </c:pt>
                <c:pt idx="6">
                  <c:v>2025-3</c:v>
                </c:pt>
                <c:pt idx="7">
                  <c:v>2025-4</c:v>
                </c:pt>
                <c:pt idx="8">
                  <c:v>2026-1</c:v>
                </c:pt>
                <c:pt idx="9">
                  <c:v>2026-2</c:v>
                </c:pt>
                <c:pt idx="10">
                  <c:v>2026-3</c:v>
                </c:pt>
                <c:pt idx="11">
                  <c:v>2026-4</c:v>
                </c:pt>
              </c:strCache>
            </c:strRef>
          </c:cat>
          <c:val>
            <c:numRef>
              <c:f>'Proyección - TIR'!$D$150:$O$150</c:f>
              <c:numCache>
                <c:formatCode>_-"$"* #,##0.00_-;\-"$"* #,##0.00_-;_-"$"* "-"??_-;_-@_-</c:formatCode>
                <c:ptCount val="12"/>
                <c:pt idx="0">
                  <c:v>2984646.0466238335</c:v>
                </c:pt>
                <c:pt idx="1">
                  <c:v>3483293.5558973323</c:v>
                </c:pt>
                <c:pt idx="2">
                  <c:v>2984646.0466238335</c:v>
                </c:pt>
                <c:pt idx="3">
                  <c:v>4480588.574444334</c:v>
                </c:pt>
                <c:pt idx="4">
                  <c:v>5740822.0054549165</c:v>
                </c:pt>
                <c:pt idx="5">
                  <c:v>6263404.5951735415</c:v>
                </c:pt>
                <c:pt idx="6">
                  <c:v>5740822.0054549165</c:v>
                </c:pt>
                <c:pt idx="7">
                  <c:v>7308569.7746108007</c:v>
                </c:pt>
                <c:pt idx="8">
                  <c:v>8676521.7777489126</c:v>
                </c:pt>
                <c:pt idx="9">
                  <c:v>9219932.7897243369</c:v>
                </c:pt>
                <c:pt idx="10">
                  <c:v>8676521.7777489126</c:v>
                </c:pt>
                <c:pt idx="11">
                  <c:v>10850165.825650599</c:v>
                </c:pt>
              </c:numCache>
            </c:numRef>
          </c:val>
          <c:smooth val="0"/>
          <c:extLst>
            <c:ext xmlns:c16="http://schemas.microsoft.com/office/drawing/2014/chart" uri="{C3380CC4-5D6E-409C-BE32-E72D297353CC}">
              <c16:uniqueId val="{00000002-5D1A-4372-A7AD-84DF2351B843}"/>
            </c:ext>
          </c:extLst>
        </c:ser>
        <c:dLbls>
          <c:showLegendKey val="0"/>
          <c:showVal val="0"/>
          <c:showCatName val="0"/>
          <c:showSerName val="0"/>
          <c:showPercent val="0"/>
          <c:showBubbleSize val="0"/>
        </c:dLbls>
        <c:smooth val="0"/>
        <c:axId val="1463357551"/>
        <c:axId val="1463365711"/>
      </c:lineChart>
      <c:catAx>
        <c:axId val="1463357551"/>
        <c:scaling>
          <c:orientation val="minMax"/>
        </c:scaling>
        <c:delete val="0"/>
        <c:axPos val="b"/>
        <c:numFmt formatCode="General" sourceLinked="1"/>
        <c:majorTickMark val="out"/>
        <c:minorTickMark val="none"/>
        <c:tickLblPos val="low"/>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463365711"/>
        <c:crosses val="autoZero"/>
        <c:auto val="1"/>
        <c:lblAlgn val="ctr"/>
        <c:lblOffset val="100"/>
        <c:noMultiLvlLbl val="0"/>
      </c:catAx>
      <c:valAx>
        <c:axId val="1463365711"/>
        <c:scaling>
          <c:orientation val="minMax"/>
          <c:max val="12000000"/>
          <c:min val="-2000000"/>
        </c:scaling>
        <c:delete val="0"/>
        <c:axPos val="l"/>
        <c:majorGridlines>
          <c:spPr>
            <a:ln w="9525" cap="flat" cmpd="sng" algn="ctr">
              <a:solidFill>
                <a:schemeClr val="tx2">
                  <a:lumMod val="15000"/>
                  <a:lumOff val="85000"/>
                </a:schemeClr>
              </a:solidFill>
              <a:round/>
            </a:ln>
            <a:effectLst/>
          </c:spPr>
        </c:majorGridlines>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4633575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Escenarios</a:t>
            </a:r>
            <a:r>
              <a:rPr lang="es-CO" baseline="0"/>
              <a:t> # Estudiantes por Cohorte</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12254882805210726"/>
          <c:y val="0.18486355555359166"/>
          <c:w val="0.83406826597024064"/>
          <c:h val="0.5529770768616673"/>
        </c:manualLayout>
      </c:layout>
      <c:scatterChart>
        <c:scatterStyle val="smoothMarker"/>
        <c:varyColors val="0"/>
        <c:ser>
          <c:idx val="0"/>
          <c:order val="0"/>
          <c:tx>
            <c:strRef>
              <c:f>'Proyección - TIR'!$C$17</c:f>
              <c:strCache>
                <c:ptCount val="1"/>
                <c:pt idx="0">
                  <c:v>Pesimista</c:v>
                </c:pt>
              </c:strCache>
            </c:strRef>
          </c:tx>
          <c:spPr>
            <a:ln w="9525" cap="rnd">
              <a:solidFill>
                <a:schemeClr val="accent1"/>
              </a:solidFill>
              <a:round/>
            </a:ln>
            <a:effectLst/>
          </c:spPr>
          <c:marker>
            <c:symbol val="circle"/>
            <c:size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c:spPr>
          </c:marker>
          <c:xVal>
            <c:numRef>
              <c:f>'Proyección - TIR'!$D$16:$W$16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numCache>
            </c:numRef>
          </c:xVal>
          <c:yVal>
            <c:numRef>
              <c:f>'Proyección - TIR'!$D$17:$W$17</c:f>
              <c:numCache>
                <c:formatCode>General</c:formatCode>
                <c:ptCount val="20"/>
                <c:pt idx="0">
                  <c:v>23</c:v>
                </c:pt>
                <c:pt idx="1">
                  <c:v>22</c:v>
                </c:pt>
                <c:pt idx="2" formatCode="0">
                  <c:v>19</c:v>
                </c:pt>
                <c:pt idx="3">
                  <c:v>20</c:v>
                </c:pt>
                <c:pt idx="4">
                  <c:v>20</c:v>
                </c:pt>
                <c:pt idx="5">
                  <c:v>20</c:v>
                </c:pt>
                <c:pt idx="6">
                  <c:v>18</c:v>
                </c:pt>
                <c:pt idx="7">
                  <c:v>19</c:v>
                </c:pt>
                <c:pt idx="8">
                  <c:v>19</c:v>
                </c:pt>
                <c:pt idx="9">
                  <c:v>19</c:v>
                </c:pt>
                <c:pt idx="10">
                  <c:v>17</c:v>
                </c:pt>
                <c:pt idx="11">
                  <c:v>18</c:v>
                </c:pt>
              </c:numCache>
            </c:numRef>
          </c:yVal>
          <c:smooth val="1"/>
          <c:extLst>
            <c:ext xmlns:c16="http://schemas.microsoft.com/office/drawing/2014/chart" uri="{C3380CC4-5D6E-409C-BE32-E72D297353CC}">
              <c16:uniqueId val="{00000000-D9F1-4C3C-B61A-730A760A4186}"/>
            </c:ext>
          </c:extLst>
        </c:ser>
        <c:ser>
          <c:idx val="1"/>
          <c:order val="1"/>
          <c:tx>
            <c:strRef>
              <c:f>'Proyección - TIR'!$C$18</c:f>
              <c:strCache>
                <c:ptCount val="1"/>
                <c:pt idx="0">
                  <c:v>Moderado</c:v>
                </c:pt>
              </c:strCache>
            </c:strRef>
          </c:tx>
          <c:spPr>
            <a:ln w="9525" cap="rnd">
              <a:solidFill>
                <a:schemeClr val="accent2"/>
              </a:solidFill>
              <a:round/>
            </a:ln>
            <a:effectLst/>
          </c:spPr>
          <c:marker>
            <c:symbol val="circle"/>
            <c:size val="5"/>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c:spPr>
          </c:marker>
          <c:xVal>
            <c:numRef>
              <c:f>'Proyección - TIR'!$D$16:$W$16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numCache>
            </c:numRef>
          </c:xVal>
          <c:yVal>
            <c:numRef>
              <c:f>'Proyección - TIR'!$D$18:$W$18</c:f>
              <c:numCache>
                <c:formatCode>General</c:formatCode>
                <c:ptCount val="20"/>
                <c:pt idx="0">
                  <c:v>23</c:v>
                </c:pt>
                <c:pt idx="1">
                  <c:v>23</c:v>
                </c:pt>
                <c:pt idx="2">
                  <c:v>22</c:v>
                </c:pt>
                <c:pt idx="3">
                  <c:v>24</c:v>
                </c:pt>
                <c:pt idx="4">
                  <c:v>24</c:v>
                </c:pt>
                <c:pt idx="5">
                  <c:v>25</c:v>
                </c:pt>
                <c:pt idx="6">
                  <c:v>24</c:v>
                </c:pt>
                <c:pt idx="7">
                  <c:v>26</c:v>
                </c:pt>
                <c:pt idx="8">
                  <c:v>27</c:v>
                </c:pt>
                <c:pt idx="9">
                  <c:v>28</c:v>
                </c:pt>
                <c:pt idx="10">
                  <c:v>26</c:v>
                </c:pt>
                <c:pt idx="11">
                  <c:v>28</c:v>
                </c:pt>
              </c:numCache>
            </c:numRef>
          </c:yVal>
          <c:smooth val="1"/>
          <c:extLst>
            <c:ext xmlns:c16="http://schemas.microsoft.com/office/drawing/2014/chart" uri="{C3380CC4-5D6E-409C-BE32-E72D297353CC}">
              <c16:uniqueId val="{00000001-D9F1-4C3C-B61A-730A760A4186}"/>
            </c:ext>
          </c:extLst>
        </c:ser>
        <c:ser>
          <c:idx val="2"/>
          <c:order val="2"/>
          <c:tx>
            <c:strRef>
              <c:f>'Proyección - TIR'!$C$19</c:f>
              <c:strCache>
                <c:ptCount val="1"/>
                <c:pt idx="0">
                  <c:v>Optimista</c:v>
                </c:pt>
              </c:strCache>
            </c:strRef>
          </c:tx>
          <c:spPr>
            <a:ln w="9525" cap="rnd">
              <a:solidFill>
                <a:schemeClr val="accent3"/>
              </a:solidFill>
              <a:round/>
            </a:ln>
            <a:effectLst/>
          </c:spPr>
          <c:marker>
            <c:symbol val="circle"/>
            <c:size val="5"/>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9525">
                <a:solidFill>
                  <a:schemeClr val="accent3"/>
                </a:solidFill>
                <a:round/>
              </a:ln>
              <a:effectLst/>
            </c:spPr>
          </c:marker>
          <c:xVal>
            <c:numRef>
              <c:f>'Proyección - TIR'!$D$16:$W$16</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numCache>
            </c:numRef>
          </c:xVal>
          <c:yVal>
            <c:numRef>
              <c:f>'Proyección - TIR'!$D$19:$W$19</c:f>
              <c:numCache>
                <c:formatCode>General</c:formatCode>
                <c:ptCount val="20"/>
                <c:pt idx="0">
                  <c:v>23</c:v>
                </c:pt>
                <c:pt idx="1">
                  <c:v>24</c:v>
                </c:pt>
                <c:pt idx="2">
                  <c:v>23</c:v>
                </c:pt>
                <c:pt idx="3">
                  <c:v>26</c:v>
                </c:pt>
                <c:pt idx="4">
                  <c:v>28</c:v>
                </c:pt>
                <c:pt idx="5">
                  <c:v>29</c:v>
                </c:pt>
                <c:pt idx="6">
                  <c:v>28</c:v>
                </c:pt>
                <c:pt idx="7">
                  <c:v>31</c:v>
                </c:pt>
                <c:pt idx="8">
                  <c:v>33</c:v>
                </c:pt>
                <c:pt idx="9">
                  <c:v>34</c:v>
                </c:pt>
                <c:pt idx="10">
                  <c:v>33</c:v>
                </c:pt>
                <c:pt idx="11">
                  <c:v>37</c:v>
                </c:pt>
              </c:numCache>
            </c:numRef>
          </c:yVal>
          <c:smooth val="1"/>
          <c:extLst>
            <c:ext xmlns:c16="http://schemas.microsoft.com/office/drawing/2014/chart" uri="{C3380CC4-5D6E-409C-BE32-E72D297353CC}">
              <c16:uniqueId val="{00000002-D9F1-4C3C-B61A-730A760A4186}"/>
            </c:ext>
          </c:extLst>
        </c:ser>
        <c:dLbls>
          <c:showLegendKey val="0"/>
          <c:showVal val="0"/>
          <c:showCatName val="0"/>
          <c:showSerName val="0"/>
          <c:showPercent val="0"/>
          <c:showBubbleSize val="0"/>
        </c:dLbls>
        <c:axId val="1520387776"/>
        <c:axId val="257204608"/>
      </c:scatterChart>
      <c:valAx>
        <c:axId val="1520387776"/>
        <c:scaling>
          <c:orientation val="minMax"/>
          <c:max val="12"/>
          <c:min val="1"/>
        </c:scaling>
        <c:delete val="0"/>
        <c:axPos val="b"/>
        <c:majorGridlines>
          <c:spPr>
            <a:ln w="9525" cap="flat" cmpd="sng" algn="ctr">
              <a:solidFill>
                <a:schemeClr val="tx2">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s-CO"/>
                  <a:t>Cohorte</a:t>
                </a:r>
                <a:r>
                  <a:rPr lang="es-CO" baseline="0"/>
                  <a:t>  Curso</a:t>
                </a:r>
                <a:endParaRPr lang="es-CO"/>
              </a:p>
            </c:rich>
          </c:tx>
          <c:overlay val="0"/>
          <c:spPr>
            <a:noFill/>
            <a:ln>
              <a:noFill/>
            </a:ln>
            <a:effectLst/>
          </c:spPr>
          <c:txPr>
            <a:bodyPr rot="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257204608"/>
        <c:crosses val="autoZero"/>
        <c:crossBetween val="midCat"/>
        <c:majorUnit val="1"/>
      </c:valAx>
      <c:valAx>
        <c:axId val="257204608"/>
        <c:scaling>
          <c:orientation val="minMax"/>
          <c:min val="15"/>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s-CO"/>
                  <a:t>#</a:t>
                </a:r>
                <a:r>
                  <a:rPr lang="es-CO" baseline="0"/>
                  <a:t> Estudiantes</a:t>
                </a:r>
                <a:endParaRPr lang="es-CO"/>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s-CO"/>
            </a:p>
          </c:txPr>
        </c:title>
        <c:numFmt formatCode="General" sourceLinked="1"/>
        <c:majorTickMark val="none"/>
        <c:minorTickMark val="none"/>
        <c:tickLblPos val="nextTo"/>
        <c:spPr>
          <a:noFill/>
          <a:ln>
            <a:solidFill>
              <a:schemeClr val="tx2">
                <a:lumMod val="40000"/>
                <a:lumOff val="60000"/>
              </a:schemeClr>
            </a:solid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5203877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xml><?xml version="1.0" encoding="utf-8"?>
<cs:chartStyle xmlns:cs="http://schemas.microsoft.com/office/drawing/2012/chartStyle" xmlns:a="http://schemas.openxmlformats.org/drawingml/2006/main" id="242">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9525" cap="rnd">
        <a:solidFill>
          <a:schemeClr val="phClr"/>
        </a:solidFill>
        <a:round/>
      </a:ln>
    </cs:spPr>
  </cs:dataPointLine>
  <cs:dataPointMarker>
    <cs:lnRef idx="0">
      <cs:styleClr val="auto"/>
    </cs:lnRef>
    <cs:fillRef idx="3">
      <cs:styleClr val="auto"/>
    </cs:fillRef>
    <cs:effectRef idx="2"/>
    <cs:fontRef idx="minor">
      <a:schemeClr val="tx2"/>
    </cs:fontRef>
    <cs:spPr>
      <a:ln w="9525">
        <a:solidFill>
          <a:schemeClr val="phClr"/>
        </a:solidFill>
        <a:round/>
      </a:ln>
    </cs:spPr>
  </cs:dataPointMarker>
  <cs:dataPointMarkerLayout symbol="circle" size="5"/>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9525" cap="rnd">
        <a:solidFill>
          <a:schemeClr val="phClr"/>
        </a:solidFill>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spPr>
      <a:ln>
        <a:solidFill>
          <a:schemeClr val="tx2">
            <a:lumMod val="40000"/>
            <a:lumOff val="60000"/>
          </a:schemeClr>
        </a:solidFill>
      </a:ln>
    </cs:spPr>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5" Type="http://schemas.openxmlformats.org/officeDocument/2006/relationships/chart" Target="../charts/chart6.xml"/><Relationship Id="rId4"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458165</xdr:colOff>
      <xdr:row>67</xdr:row>
      <xdr:rowOff>0</xdr:rowOff>
    </xdr:from>
    <xdr:to>
      <xdr:col>7</xdr:col>
      <xdr:colOff>979338</xdr:colOff>
      <xdr:row>67</xdr:row>
      <xdr:rowOff>204967</xdr:rowOff>
    </xdr:to>
    <xdr:sp macro="" textlink="">
      <xdr:nvSpPr>
        <xdr:cNvPr id="5" name="Elipse 4">
          <a:extLst>
            <a:ext uri="{FF2B5EF4-FFF2-40B4-BE49-F238E27FC236}">
              <a16:creationId xmlns:a16="http://schemas.microsoft.com/office/drawing/2014/main" id="{E9A2FFA8-0C54-47F1-BAAB-FF9AA7B26A1C}"/>
            </a:ext>
          </a:extLst>
        </xdr:cNvPr>
        <xdr:cNvSpPr/>
      </xdr:nvSpPr>
      <xdr:spPr>
        <a:xfrm>
          <a:off x="7752627" y="13998133"/>
          <a:ext cx="521173" cy="20496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5</xdr:col>
      <xdr:colOff>221496</xdr:colOff>
      <xdr:row>15</xdr:row>
      <xdr:rowOff>34177</xdr:rowOff>
    </xdr:from>
    <xdr:to>
      <xdr:col>7</xdr:col>
      <xdr:colOff>964406</xdr:colOff>
      <xdr:row>23</xdr:row>
      <xdr:rowOff>18135</xdr:rowOff>
    </xdr:to>
    <xdr:pic>
      <xdr:nvPicPr>
        <xdr:cNvPr id="6" name="Imagen 5">
          <a:extLst>
            <a:ext uri="{FF2B5EF4-FFF2-40B4-BE49-F238E27FC236}">
              <a16:creationId xmlns:a16="http://schemas.microsoft.com/office/drawing/2014/main" id="{A01D8FA6-B97D-DC5E-0DA4-3823EE56CD05}"/>
            </a:ext>
          </a:extLst>
        </xdr:cNvPr>
        <xdr:cNvPicPr>
          <a:picLocks noChangeAspect="1"/>
        </xdr:cNvPicPr>
      </xdr:nvPicPr>
      <xdr:blipFill>
        <a:blip xmlns:r="http://schemas.openxmlformats.org/officeDocument/2006/relationships" r:embed="rId1"/>
        <a:stretch>
          <a:fillRect/>
        </a:stretch>
      </xdr:blipFill>
      <xdr:spPr>
        <a:xfrm>
          <a:off x="6091277" y="3248865"/>
          <a:ext cx="2731254" cy="1698458"/>
        </a:xfrm>
        <a:prstGeom prst="rect">
          <a:avLst/>
        </a:prstGeom>
        <a:ln>
          <a:solidFill>
            <a:sysClr val="windowText" lastClr="000000"/>
          </a:solidFill>
        </a:ln>
      </xdr:spPr>
    </xdr:pic>
    <xdr:clientData/>
  </xdr:twoCellAnchor>
  <xdr:twoCellAnchor>
    <xdr:from>
      <xdr:col>7</xdr:col>
      <xdr:colOff>470222</xdr:colOff>
      <xdr:row>54</xdr:row>
      <xdr:rowOff>12056</xdr:rowOff>
    </xdr:from>
    <xdr:to>
      <xdr:col>8</xdr:col>
      <xdr:colOff>5258</xdr:colOff>
      <xdr:row>55</xdr:row>
      <xdr:rowOff>12057</xdr:rowOff>
    </xdr:to>
    <xdr:sp macro="" textlink="">
      <xdr:nvSpPr>
        <xdr:cNvPr id="3" name="Elipse 2">
          <a:extLst>
            <a:ext uri="{FF2B5EF4-FFF2-40B4-BE49-F238E27FC236}">
              <a16:creationId xmlns:a16="http://schemas.microsoft.com/office/drawing/2014/main" id="{545B4419-C459-4BE0-B3DF-B4E3E2B41EC1}"/>
            </a:ext>
          </a:extLst>
        </xdr:cNvPr>
        <xdr:cNvSpPr/>
      </xdr:nvSpPr>
      <xdr:spPr>
        <a:xfrm>
          <a:off x="7764684" y="11345600"/>
          <a:ext cx="523707" cy="2049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91032</xdr:colOff>
      <xdr:row>43</xdr:row>
      <xdr:rowOff>5425</xdr:rowOff>
    </xdr:from>
    <xdr:to>
      <xdr:col>8</xdr:col>
      <xdr:colOff>130065</xdr:colOff>
      <xdr:row>45</xdr:row>
      <xdr:rowOff>190801</xdr:rowOff>
    </xdr:to>
    <xdr:sp macro="" textlink="">
      <xdr:nvSpPr>
        <xdr:cNvPr id="4" name="CuadroTexto 3">
          <a:extLst>
            <a:ext uri="{FF2B5EF4-FFF2-40B4-BE49-F238E27FC236}">
              <a16:creationId xmlns:a16="http://schemas.microsoft.com/office/drawing/2014/main" id="{3F7FDC37-44C7-48A5-BB9D-970A6102961A}"/>
            </a:ext>
          </a:extLst>
        </xdr:cNvPr>
        <xdr:cNvSpPr txBox="1"/>
      </xdr:nvSpPr>
      <xdr:spPr>
        <a:xfrm>
          <a:off x="5960813" y="9637581"/>
          <a:ext cx="3015596" cy="614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O" sz="1100" b="1" baseline="0">
              <a:solidFill>
                <a:schemeClr val="dk1"/>
              </a:solidFill>
              <a:effectLst/>
              <a:latin typeface="Times New Roman" panose="02020603050405020304" pitchFamily="18" charset="0"/>
              <a:ea typeface="+mn-ea"/>
              <a:cs typeface="Times New Roman" panose="02020603050405020304" pitchFamily="18" charset="0"/>
            </a:rPr>
            <a:t>Punto de Equilibrio (Q) </a:t>
          </a:r>
          <a:r>
            <a:rPr lang="es-CO" sz="1100" baseline="0">
              <a:solidFill>
                <a:schemeClr val="dk1"/>
              </a:solidFill>
              <a:effectLst/>
              <a:latin typeface="Times New Roman" panose="02020603050405020304" pitchFamily="18" charset="0"/>
              <a:ea typeface="+mn-ea"/>
              <a:cs typeface="Times New Roman" panose="02020603050405020304" pitchFamily="18" charset="0"/>
            </a:rPr>
            <a:t>= CF / (PV-CUV-PV*%M.N-PV*(ContrUIS))</a:t>
          </a:r>
        </a:p>
      </xdr:txBody>
    </xdr:sp>
    <xdr:clientData/>
  </xdr:twoCellAnchor>
  <xdr:twoCellAnchor>
    <xdr:from>
      <xdr:col>3</xdr:col>
      <xdr:colOff>1243373</xdr:colOff>
      <xdr:row>43</xdr:row>
      <xdr:rowOff>119063</xdr:rowOff>
    </xdr:from>
    <xdr:to>
      <xdr:col>5</xdr:col>
      <xdr:colOff>68121</xdr:colOff>
      <xdr:row>45</xdr:row>
      <xdr:rowOff>24718</xdr:rowOff>
    </xdr:to>
    <xdr:sp macro="" textlink="">
      <xdr:nvSpPr>
        <xdr:cNvPr id="8" name="Abrir llave 7">
          <a:extLst>
            <a:ext uri="{FF2B5EF4-FFF2-40B4-BE49-F238E27FC236}">
              <a16:creationId xmlns:a16="http://schemas.microsoft.com/office/drawing/2014/main" id="{BC455E29-9E1F-30BD-99DB-2E17F0025C5F}"/>
            </a:ext>
          </a:extLst>
        </xdr:cNvPr>
        <xdr:cNvSpPr/>
      </xdr:nvSpPr>
      <xdr:spPr>
        <a:xfrm>
          <a:off x="4898592" y="9751219"/>
          <a:ext cx="1039310" cy="334280"/>
        </a:xfrm>
        <a:prstGeom prst="leftBrace">
          <a:avLst>
            <a:gd name="adj1" fmla="val 9092"/>
            <a:gd name="adj2" fmla="val 6807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O" sz="1100"/>
        </a:p>
      </xdr:txBody>
    </xdr:sp>
    <xdr:clientData/>
  </xdr:twoCellAnchor>
  <xdr:twoCellAnchor>
    <xdr:from>
      <xdr:col>4</xdr:col>
      <xdr:colOff>59531</xdr:colOff>
      <xdr:row>17</xdr:row>
      <xdr:rowOff>107155</xdr:rowOff>
    </xdr:from>
    <xdr:to>
      <xdr:col>5</xdr:col>
      <xdr:colOff>146341</xdr:colOff>
      <xdr:row>18</xdr:row>
      <xdr:rowOff>212806</xdr:rowOff>
    </xdr:to>
    <xdr:sp macro="" textlink="">
      <xdr:nvSpPr>
        <xdr:cNvPr id="7" name="Abrir llave 6">
          <a:extLst>
            <a:ext uri="{FF2B5EF4-FFF2-40B4-BE49-F238E27FC236}">
              <a16:creationId xmlns:a16="http://schemas.microsoft.com/office/drawing/2014/main" id="{B659C464-D43B-4121-AC08-5BB086CBC28A}"/>
            </a:ext>
          </a:extLst>
        </xdr:cNvPr>
        <xdr:cNvSpPr/>
      </xdr:nvSpPr>
      <xdr:spPr>
        <a:xfrm>
          <a:off x="4976812" y="3750468"/>
          <a:ext cx="1039310" cy="319963"/>
        </a:xfrm>
        <a:prstGeom prst="leftBrace">
          <a:avLst>
            <a:gd name="adj1" fmla="val 9092"/>
            <a:gd name="adj2" fmla="val 68074"/>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77370</xdr:colOff>
      <xdr:row>2</xdr:row>
      <xdr:rowOff>129539</xdr:rowOff>
    </xdr:from>
    <xdr:to>
      <xdr:col>22</xdr:col>
      <xdr:colOff>603697</xdr:colOff>
      <xdr:row>27</xdr:row>
      <xdr:rowOff>147570</xdr:rowOff>
    </xdr:to>
    <xdr:graphicFrame macro="">
      <xdr:nvGraphicFramePr>
        <xdr:cNvPr id="3" name="Gráfico 2">
          <a:extLst>
            <a:ext uri="{FF2B5EF4-FFF2-40B4-BE49-F238E27FC236}">
              <a16:creationId xmlns:a16="http://schemas.microsoft.com/office/drawing/2014/main" id="{DB9D9760-6783-E4D7-3288-20C2F6EB6B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517434</xdr:colOff>
      <xdr:row>12</xdr:row>
      <xdr:rowOff>151580</xdr:rowOff>
    </xdr:from>
    <xdr:to>
      <xdr:col>19</xdr:col>
      <xdr:colOff>61788</xdr:colOff>
      <xdr:row>13</xdr:row>
      <xdr:rowOff>190218</xdr:rowOff>
    </xdr:to>
    <xdr:sp macro="" textlink="">
      <xdr:nvSpPr>
        <xdr:cNvPr id="4" name="Elipse 3">
          <a:extLst>
            <a:ext uri="{FF2B5EF4-FFF2-40B4-BE49-F238E27FC236}">
              <a16:creationId xmlns:a16="http://schemas.microsoft.com/office/drawing/2014/main" id="{AEB284D3-2F00-1D1C-971E-D3EE2EC8C4AB}"/>
            </a:ext>
          </a:extLst>
        </xdr:cNvPr>
        <xdr:cNvSpPr/>
      </xdr:nvSpPr>
      <xdr:spPr>
        <a:xfrm>
          <a:off x="17970990" y="2727355"/>
          <a:ext cx="322453" cy="253286"/>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196560</xdr:colOff>
      <xdr:row>13</xdr:row>
      <xdr:rowOff>24709</xdr:rowOff>
    </xdr:from>
    <xdr:to>
      <xdr:col>18</xdr:col>
      <xdr:colOff>476868</xdr:colOff>
      <xdr:row>13</xdr:row>
      <xdr:rowOff>27430</xdr:rowOff>
    </xdr:to>
    <xdr:cxnSp macro="">
      <xdr:nvCxnSpPr>
        <xdr:cNvPr id="8" name="Conector recto de flecha 7">
          <a:extLst>
            <a:ext uri="{FF2B5EF4-FFF2-40B4-BE49-F238E27FC236}">
              <a16:creationId xmlns:a16="http://schemas.microsoft.com/office/drawing/2014/main" id="{21D718BD-FC79-0595-97E9-DC64F6923FCF}"/>
            </a:ext>
          </a:extLst>
        </xdr:cNvPr>
        <xdr:cNvCxnSpPr/>
      </xdr:nvCxnSpPr>
      <xdr:spPr>
        <a:xfrm flipV="1">
          <a:off x="16093919" y="2815132"/>
          <a:ext cx="1836505" cy="2721"/>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678445</xdr:colOff>
      <xdr:row>14</xdr:row>
      <xdr:rowOff>49603</xdr:rowOff>
    </xdr:from>
    <xdr:to>
      <xdr:col>18</xdr:col>
      <xdr:colOff>700246</xdr:colOff>
      <xdr:row>22</xdr:row>
      <xdr:rowOff>24530</xdr:rowOff>
    </xdr:to>
    <xdr:cxnSp macro="">
      <xdr:nvCxnSpPr>
        <xdr:cNvPr id="11" name="Conector recto de flecha 10">
          <a:extLst>
            <a:ext uri="{FF2B5EF4-FFF2-40B4-BE49-F238E27FC236}">
              <a16:creationId xmlns:a16="http://schemas.microsoft.com/office/drawing/2014/main" id="{7C3FB601-DA97-42D4-DEFE-6C8419B1B236}"/>
            </a:ext>
          </a:extLst>
        </xdr:cNvPr>
        <xdr:cNvCxnSpPr/>
      </xdr:nvCxnSpPr>
      <xdr:spPr>
        <a:xfrm flipH="1" flipV="1">
          <a:off x="18132001" y="3054673"/>
          <a:ext cx="21801" cy="1692111"/>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335479</xdr:colOff>
      <xdr:row>80</xdr:row>
      <xdr:rowOff>213755</xdr:rowOff>
    </xdr:from>
    <xdr:to>
      <xdr:col>3</xdr:col>
      <xdr:colOff>646873</xdr:colOff>
      <xdr:row>94</xdr:row>
      <xdr:rowOff>25729</xdr:rowOff>
    </xdr:to>
    <xdr:graphicFrame macro="">
      <xdr:nvGraphicFramePr>
        <xdr:cNvPr id="4" name="Gráfico 3">
          <a:extLst>
            <a:ext uri="{FF2B5EF4-FFF2-40B4-BE49-F238E27FC236}">
              <a16:creationId xmlns:a16="http://schemas.microsoft.com/office/drawing/2014/main" id="{3F05E931-00C4-E2A2-204C-9F9B120026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858673</xdr:colOff>
      <xdr:row>78</xdr:row>
      <xdr:rowOff>244453</xdr:rowOff>
    </xdr:from>
    <xdr:to>
      <xdr:col>9</xdr:col>
      <xdr:colOff>444522</xdr:colOff>
      <xdr:row>94</xdr:row>
      <xdr:rowOff>75240</xdr:rowOff>
    </xdr:to>
    <xdr:graphicFrame macro="">
      <xdr:nvGraphicFramePr>
        <xdr:cNvPr id="5" name="Gráfico 4">
          <a:extLst>
            <a:ext uri="{FF2B5EF4-FFF2-40B4-BE49-F238E27FC236}">
              <a16:creationId xmlns:a16="http://schemas.microsoft.com/office/drawing/2014/main" id="{8BDD258B-6D5D-EDA0-A094-09F2DAF5A0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171236</xdr:colOff>
      <xdr:row>124</xdr:row>
      <xdr:rowOff>192640</xdr:rowOff>
    </xdr:from>
    <xdr:to>
      <xdr:col>8</xdr:col>
      <xdr:colOff>246152</xdr:colOff>
      <xdr:row>142</xdr:row>
      <xdr:rowOff>10703</xdr:rowOff>
    </xdr:to>
    <xdr:graphicFrame macro="">
      <xdr:nvGraphicFramePr>
        <xdr:cNvPr id="6" name="Gráfico 5">
          <a:extLst>
            <a:ext uri="{FF2B5EF4-FFF2-40B4-BE49-F238E27FC236}">
              <a16:creationId xmlns:a16="http://schemas.microsoft.com/office/drawing/2014/main" id="{3B4FEDDF-E71F-0F6B-59CA-20BF0F63AD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2103</xdr:colOff>
      <xdr:row>152</xdr:row>
      <xdr:rowOff>32107</xdr:rowOff>
    </xdr:from>
    <xdr:to>
      <xdr:col>8</xdr:col>
      <xdr:colOff>706349</xdr:colOff>
      <xdr:row>169</xdr:row>
      <xdr:rowOff>57149</xdr:rowOff>
    </xdr:to>
    <xdr:graphicFrame macro="">
      <xdr:nvGraphicFramePr>
        <xdr:cNvPr id="7" name="Gráfico 6">
          <a:extLst>
            <a:ext uri="{FF2B5EF4-FFF2-40B4-BE49-F238E27FC236}">
              <a16:creationId xmlns:a16="http://schemas.microsoft.com/office/drawing/2014/main" id="{A11E08E2-9FEC-111B-479F-52303160A2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371475</xdr:colOff>
      <xdr:row>20</xdr:row>
      <xdr:rowOff>195792</xdr:rowOff>
    </xdr:from>
    <xdr:to>
      <xdr:col>11</xdr:col>
      <xdr:colOff>246152</xdr:colOff>
      <xdr:row>32</xdr:row>
      <xdr:rowOff>160534</xdr:rowOff>
    </xdr:to>
    <xdr:graphicFrame macro="">
      <xdr:nvGraphicFramePr>
        <xdr:cNvPr id="2" name="Gráfico 1">
          <a:extLst>
            <a:ext uri="{FF2B5EF4-FFF2-40B4-BE49-F238E27FC236}">
              <a16:creationId xmlns:a16="http://schemas.microsoft.com/office/drawing/2014/main" id="{8E967EEB-8050-5A9E-9BF0-A58A802CB3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693420</xdr:colOff>
      <xdr:row>0</xdr:row>
      <xdr:rowOff>69842</xdr:rowOff>
    </xdr:from>
    <xdr:to>
      <xdr:col>8</xdr:col>
      <xdr:colOff>15842</xdr:colOff>
      <xdr:row>25</xdr:row>
      <xdr:rowOff>160516</xdr:rowOff>
    </xdr:to>
    <xdr:pic>
      <xdr:nvPicPr>
        <xdr:cNvPr id="2" name="Imagen 1">
          <a:extLst>
            <a:ext uri="{FF2B5EF4-FFF2-40B4-BE49-F238E27FC236}">
              <a16:creationId xmlns:a16="http://schemas.microsoft.com/office/drawing/2014/main" id="{121CD4F3-3379-7815-3D50-842F640A79D9}"/>
            </a:ext>
          </a:extLst>
        </xdr:cNvPr>
        <xdr:cNvPicPr>
          <a:picLocks noChangeAspect="1"/>
        </xdr:cNvPicPr>
      </xdr:nvPicPr>
      <xdr:blipFill>
        <a:blip xmlns:r="http://schemas.openxmlformats.org/officeDocument/2006/relationships" r:embed="rId1"/>
        <a:stretch>
          <a:fillRect/>
        </a:stretch>
      </xdr:blipFill>
      <xdr:spPr>
        <a:xfrm>
          <a:off x="693420" y="69842"/>
          <a:ext cx="5662262" cy="46626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uisa Paredes" id="{59725982-0DB6-4E54-A07E-EAA202680AF8}" userId="31b8689bb53258de" providerId="Windows Live"/>
  <person displayName="LUISA PAREDES" id="{F87CCD42-A7A8-453B-8932-B2087001042F}" userId="S::luisa2174047@correo.uis.edu.co::ae62cd98-01e6-4870-922a-8564296c1595"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3" dT="2023-05-28T20:18:17.58" personId="{59725982-0DB6-4E54-A07E-EAA202680AF8}" id="{FDCAAAF6-C902-4269-892B-1676533D99F5}">
    <text>Para el estudio de mercados se elaboraron folletos, los cuales se imprimieron y se entregaron a estudiantes, en total se hizo entrega de 80 folletos.</text>
  </threadedComment>
  <threadedComment ref="C27" dT="2023-05-25T02:08:41.30" personId="{F87CCD42-A7A8-453B-8932-B2087001042F}" id="{16997950-5B7E-4868-AA3C-B7FF3724441A}">
    <text xml:space="preserve">El logo del programa fue diseñado por los autores del proyecto
</text>
  </threadedComment>
</ThreadedComments>
</file>

<file path=xl/threadedComments/threadedComment2.xml><?xml version="1.0" encoding="utf-8"?>
<ThreadedComments xmlns="http://schemas.microsoft.com/office/spreadsheetml/2018/threadedcomments" xmlns:x="http://schemas.openxmlformats.org/spreadsheetml/2006/main">
  <threadedComment ref="C4" dT="2023-05-28T20:58:36.98" personId="{59725982-0DB6-4E54-A07E-EAA202680AF8}" id="{6EAD5561-3E32-4B61-BB17-D14C5F1B69DB}">
    <text>Este es un valor estimado, el cual corresponde al promedio de estudiantes que suelen matricularse en cursos de extensión de la escuela</text>
  </threadedComment>
  <threadedComment ref="E15" dT="2023-05-28T20:45:18.45" personId="{59725982-0DB6-4E54-A07E-EAA202680AF8}" id="{9A1F0078-1882-4954-8299-1B72CAB10A5E}">
    <text>Se consultó en la oficina de posgrados acerca de la máquina automática de café que se alquila los fines de semana para los estudiantes de especialización y maestría. La máquina se alquila en comodato, es decir que la empresa que presta este servicio no cobra ningún adicional por el alquiler de la máquina, siempre y cuando se realice una compra mínimo de $400.000 en insumos de cafetería. Nota: El préstamo de la máquina se debe solicitar vía correo electrónico a posgrados con anticipación a la fecha que se requiera.</text>
  </threadedComment>
  <threadedComment ref="C23" dT="2023-05-28T21:08:57.29" personId="{59725982-0DB6-4E54-A07E-EAA202680AF8}" id="{1CD53335-91FF-49B1-A60D-7A18E0E1AF36}">
    <text>El costo es de 430.000 por una buseta de 30 pasajeros. El costo de la celda corresponde al valor individual ida y vuelta de cada estudiante</text>
  </threadedComment>
</ThreadedComments>
</file>

<file path=xl/threadedComments/threadedComment3.xml><?xml version="1.0" encoding="utf-8"?>
<ThreadedComments xmlns="http://schemas.microsoft.com/office/spreadsheetml/2018/threadedcomments" xmlns:x="http://schemas.openxmlformats.org/spreadsheetml/2006/main">
  <threadedComment ref="D7" dT="2023-06-01T05:00:46.95" personId="{59725982-0DB6-4E54-A07E-EAA202680AF8}" id="{38C0BA3B-BADF-4100-8B55-457228DD9F52}">
    <text>Este sería el margen de ganancia mínimo establecido por la universidad, dado el caso de que se tenga previsto el pago de bonificaciones extraordinarias, y esto se da cuando se debe pagar honorarios a un profesor planta</text>
  </threadedComment>
  <threadedComment ref="D11" dT="2023-06-20T03:17:38.56" personId="{59725982-0DB6-4E54-A07E-EAA202680AF8}" id="{8BD13897-48FE-4429-AA76-A3EB0AE331CC}">
    <text>Promedio de estudiantes cursos de extensión</text>
  </threadedComment>
  <threadedComment ref="D18" dT="2023-06-01T04:58:34.25" personId="{59725982-0DB6-4E54-A07E-EAA202680AF8}" id="{CDCECEDE-5F1A-4878-9F2B-462B8C38684A}">
    <text>Este margen de ganancia está determinado internamente por la Escuela de Ingeniería Industrial</text>
  </threadedComment>
  <threadedComment ref="D19" dT="2023-05-25T03:11:05.34" personId="{F87CCD42-A7A8-453B-8932-B2087001042F}" id="{6E52F360-D34D-43A4-B0E5-D278E06DF2A4}">
    <text>El Precio de venta del curso se halló iterando a través de la fórmula "buscar objetivo" buscando que la diferencia entre el margen de ganancia esperado y el margen de ganancia neto (real) sea cero.</text>
  </threadedComment>
  <threadedComment ref="D45" dT="2023-06-20T04:18:19.66" personId="{59725982-0DB6-4E54-A07E-EAA202680AF8}" id="{22A23846-4E81-474B-B05A-4DF1EA0E69CF}">
    <text>Punto de equilibrio con un margen de ganancia esperado del 20%</text>
  </threadedComment>
</ThreadedComments>
</file>

<file path=xl/threadedComments/threadedComment4.xml><?xml version="1.0" encoding="utf-8"?>
<ThreadedComments xmlns="http://schemas.microsoft.com/office/spreadsheetml/2018/threadedcomments" xmlns:x="http://schemas.openxmlformats.org/spreadsheetml/2006/main">
  <threadedComment ref="G2" dT="2023-06-20T14:20:14.89" personId="{59725982-0DB6-4E54-A07E-EAA202680AF8}" id="{EA858529-D5A6-4BCE-AF0D-5DDB9F620637}">
    <text>Incluye las provisiones de imprevistos</text>
  </threadedComment>
  <threadedComment ref="C19" dT="2023-06-20T04:17:32.60" personId="{59725982-0DB6-4E54-A07E-EAA202680AF8}" id="{2E30354B-B99C-490D-B588-1E7C306036AC}">
    <text>Punto de equilibrio cuando el margen de ganancia es 0%</text>
  </threadedComment>
  <threadedComment ref="C25" dT="2023-06-20T04:17:55.74" personId="{59725982-0DB6-4E54-A07E-EAA202680AF8}" id="{47358EDE-6B11-4AF7-8B4E-6A5701104E0D}">
    <text>Punto de equilibrio cuando el margen de ganancia esperado es del 20%</text>
  </threadedComment>
</ThreadedComments>
</file>

<file path=xl/threadedComments/threadedComment5.xml><?xml version="1.0" encoding="utf-8"?>
<ThreadedComments xmlns="http://schemas.microsoft.com/office/spreadsheetml/2018/threadedcomments" xmlns:x="http://schemas.openxmlformats.org/spreadsheetml/2006/main">
  <threadedComment ref="C4" dT="2023-05-28T22:19:22.34" personId="{59725982-0DB6-4E54-A07E-EAA202680AF8}" id="{D819EC28-D7D4-46A7-85B3-2B5554416F53}">
    <text>Para este análisis se establece que el precio del programa va a variar de acuerdo a la tasa de inflación proyectada para cada año</text>
  </threadedComment>
  <threadedComment ref="C11" dT="2023-05-28T22:52:56.64" personId="{59725982-0DB6-4E54-A07E-EAA202680AF8}" id="{86B1293B-0238-48ED-9635-564643710E9D}">
    <text>Los escenarios fueron supuestos por las autoras del proyecto</text>
  </threadedComment>
  <threadedComment ref="C69" dT="2023-05-28T23:21:09.41" personId="{59725982-0DB6-4E54-A07E-EAA202680AF8}" id="{BDF21595-2C1F-4F88-BC19-18177C7C76DB}">
    <text>Corresponde a la rentabilidad  que genera la inversión durante los 3 años, por cohorte.</text>
  </threadedComment>
  <threadedComment ref="C70" dT="2023-05-28T23:24:46.42" personId="{59725982-0DB6-4E54-A07E-EAA202680AF8}" id="{23FEB342-D993-4353-9A92-6DFBEDFFB12D}">
    <text>Durante los 5 años de inversión, la rentabilidad anual que generará este negocio (es decir por cada 4 cohortes trimestrales), será este valor</text>
  </threadedComment>
  <threadedComment ref="E76" dT="2023-05-28T23:49:21.09" personId="{59725982-0DB6-4E54-A07E-EAA202680AF8}" id="{97083550-DB78-4075-9183-B0B81FB49C24}">
    <text>Teniendo en cuenta los ingresos generados durante la 2 cohorte del programa, la inversión inicial se cubre en su totalidad y se empiezan a generar ganancias</text>
  </threadedComment>
  <threadedComment ref="B79" dT="2023-05-28T23:49:56.42" personId="{59725982-0DB6-4E54-A07E-EAA202680AF8}" id="{848F1871-D724-4E95-B368-7681461F74B0}">
    <text>Las cohortes se expresan en términos trimestrales (4 cohortes al año)</text>
  </threadedComment>
  <threadedComment ref="C79" dT="2023-05-28T23:52:09.52" personId="{59725982-0DB6-4E54-A07E-EAA202680AF8}" id="{BF5D6513-9080-45A0-BCC1-425E36642A06}">
    <text>Número de cohortes en el que la inversión es recuperada</text>
  </threadedComment>
  <threadedComment ref="C80" dT="2023-05-29T00:33:33.49" personId="{59725982-0DB6-4E54-A07E-EAA202680AF8}" id="{CCEF5DFA-C4B0-4EB3-A6B4-4BBA25F9739C}">
    <text>Número de años en el que la inversión es recuperada</text>
  </threadedComment>
  <threadedComment ref="C103" dT="2023-05-29T00:35:38.36" personId="{59725982-0DB6-4E54-A07E-EAA202680AF8}" id="{164717A3-90B2-4532-BC61-0A834EBF8BB6}">
    <text>Escenarios:
1. pesimista
2. moderado
3. optimista</text>
  </threadedComment>
  <threadedComment ref="B122" dT="2023-05-29T00:36:30.60" personId="{59725982-0DB6-4E54-A07E-EAA202680AF8}" id="{85F0D6AC-0E7E-4B32-B811-60A7B216A953}">
    <text xml:space="preserve">Escenarios:
1. pesimista
2. moderado
3. optimista
</text>
  </threadedComment>
</ThreadedComments>
</file>

<file path=xl/threadedComments/threadedComment6.xml><?xml version="1.0" encoding="utf-8"?>
<ThreadedComments xmlns="http://schemas.microsoft.com/office/spreadsheetml/2018/threadedcomments" xmlns:x="http://schemas.openxmlformats.org/spreadsheetml/2006/main">
  <threadedComment ref="E5" dT="2023-05-28T22:52:56.64" personId="{59725982-0DB6-4E54-A07E-EAA202680AF8}" id="{3A505390-9054-4467-9F5B-10C898FFFDB0}">
    <text>Los escenarios fueron supuestos por las autoras del proyecto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todoaseo.com/tienda/bebidas/cafe-bebidas/cafe-soluble/nescafe-tradicional-lata-x-500-gr-ref-09429/" TargetMode="External"/><Relationship Id="rId7" Type="http://schemas.openxmlformats.org/officeDocument/2006/relationships/vmlDrawing" Target="../drawings/vmlDrawing2.vml"/><Relationship Id="rId2" Type="http://schemas.openxmlformats.org/officeDocument/2006/relationships/hyperlink" Target="https://www.todoaseo.com/tienda/desechables/para-la-mesa/pitillos-mezcladores/mezclador-rojo-paquete-ref-00492/" TargetMode="External"/><Relationship Id="rId1" Type="http://schemas.openxmlformats.org/officeDocument/2006/relationships/hyperlink" Target="https://www.todoaseo.com/tienda/desechables/para-la-mesa/vasos-desechables/vaso-carton-7-oz-nescafe-x-50-uds-ref-05239/" TargetMode="External"/><Relationship Id="rId6" Type="http://schemas.openxmlformats.org/officeDocument/2006/relationships/hyperlink" Target="https://www.todoaseo.com/tienda/desechables/para-la-mesa/servilletas/producto-590/" TargetMode="External"/><Relationship Id="rId5" Type="http://schemas.openxmlformats.org/officeDocument/2006/relationships/hyperlink" Target="https://www.todoaseo.com/tienda/bebidas/otras-bebidas/infusiones/aromatica-hindu-frutos-surtidos-x-50-und/" TargetMode="External"/><Relationship Id="rId4" Type="http://schemas.openxmlformats.org/officeDocument/2006/relationships/hyperlink" Target="https://www.todoaseo.com/tienda/bebidas/mixes-nestle/capuccino-original/nescafe-cappuccino-bolsa-x-1000-ref-05629/" TargetMode="External"/><Relationship Id="rId9"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xml"/><Relationship Id="rId4" Type="http://schemas.microsoft.com/office/2017/10/relationships/threadedComment" Target="../threadedComments/threadedComment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2F133-4891-4FC4-B06C-B4C414626601}">
  <dimension ref="B1:F31"/>
  <sheetViews>
    <sheetView showGridLines="0" zoomScaleNormal="100" workbookViewId="0">
      <selection activeCell="F27" sqref="F27"/>
    </sheetView>
  </sheetViews>
  <sheetFormatPr baseColWidth="10" defaultColWidth="11.5703125" defaultRowHeight="16.5"/>
  <cols>
    <col min="1" max="1" width="14.42578125" style="1" customWidth="1"/>
    <col min="2" max="2" width="23.5703125" style="1" customWidth="1"/>
    <col min="3" max="3" width="17.7109375" style="1" customWidth="1"/>
    <col min="4" max="4" width="13.85546875" style="1" customWidth="1"/>
    <col min="5" max="5" width="13.5703125" style="1" customWidth="1"/>
    <col min="6" max="6" width="55" style="1" customWidth="1"/>
    <col min="7" max="16384" width="11.5703125" style="1"/>
  </cols>
  <sheetData>
    <row r="1" spans="2:6">
      <c r="B1" s="41"/>
      <c r="C1" s="41"/>
      <c r="D1" s="41"/>
      <c r="E1" s="41"/>
      <c r="F1" s="41"/>
    </row>
    <row r="2" spans="2:6">
      <c r="B2" s="41"/>
      <c r="C2" s="41"/>
      <c r="D2" s="41"/>
      <c r="E2" s="41"/>
      <c r="F2" s="41"/>
    </row>
    <row r="3" spans="2:6" ht="21" customHeight="1">
      <c r="B3" s="248" t="s">
        <v>196</v>
      </c>
      <c r="C3" s="248"/>
      <c r="D3" s="248"/>
      <c r="E3" s="248"/>
      <c r="F3" s="248"/>
    </row>
    <row r="4" spans="2:6" ht="21" customHeight="1">
      <c r="B4" s="69" t="s">
        <v>9</v>
      </c>
      <c r="C4" s="69" t="s">
        <v>19</v>
      </c>
      <c r="D4" s="69" t="s">
        <v>10</v>
      </c>
      <c r="E4" s="69" t="s">
        <v>11</v>
      </c>
      <c r="F4" s="69" t="s">
        <v>12</v>
      </c>
    </row>
    <row r="5" spans="2:6" ht="51.75" customHeight="1">
      <c r="B5" s="58" t="s">
        <v>13</v>
      </c>
      <c r="C5" s="66">
        <v>10</v>
      </c>
      <c r="D5" s="65">
        <v>14300</v>
      </c>
      <c r="E5" s="65">
        <f>D5*C5</f>
        <v>143000</v>
      </c>
      <c r="F5" s="64" t="s">
        <v>151</v>
      </c>
    </row>
    <row r="6" spans="2:6" ht="50.25" customHeight="1">
      <c r="B6" s="58" t="s">
        <v>14</v>
      </c>
      <c r="C6" s="66">
        <v>20</v>
      </c>
      <c r="D6" s="65">
        <v>9666.6666666666661</v>
      </c>
      <c r="E6" s="65">
        <f t="shared" ref="E6:E8" si="0">D6*C6</f>
        <v>193333.33333333331</v>
      </c>
      <c r="F6" s="64" t="s">
        <v>20</v>
      </c>
    </row>
    <row r="7" spans="2:6" ht="45" customHeight="1">
      <c r="B7" s="58" t="s">
        <v>15</v>
      </c>
      <c r="C7" s="66">
        <v>5</v>
      </c>
      <c r="D7" s="65">
        <v>9666.6666666666661</v>
      </c>
      <c r="E7" s="65">
        <f t="shared" si="0"/>
        <v>48333.333333333328</v>
      </c>
      <c r="F7" s="64" t="s">
        <v>137</v>
      </c>
    </row>
    <row r="8" spans="2:6" ht="54.75" customHeight="1">
      <c r="B8" s="63" t="s">
        <v>18</v>
      </c>
      <c r="C8" s="62">
        <v>12</v>
      </c>
      <c r="D8" s="61">
        <v>9666.6666666666661</v>
      </c>
      <c r="E8" s="61">
        <f t="shared" si="0"/>
        <v>116000</v>
      </c>
      <c r="F8" s="60" t="s">
        <v>150</v>
      </c>
    </row>
    <row r="9" spans="2:6">
      <c r="B9" s="250" t="s">
        <v>7</v>
      </c>
      <c r="C9" s="250"/>
      <c r="D9" s="250"/>
      <c r="E9" s="68">
        <f>SUM(E5:E8)</f>
        <v>500666.66666666663</v>
      </c>
      <c r="F9" s="68"/>
    </row>
    <row r="10" spans="2:6">
      <c r="B10" s="41"/>
      <c r="C10" s="41"/>
      <c r="D10" s="41"/>
      <c r="E10" s="41"/>
      <c r="F10" s="41"/>
    </row>
    <row r="11" spans="2:6">
      <c r="B11" s="41"/>
      <c r="C11" s="41"/>
      <c r="D11" s="41"/>
      <c r="E11" s="41"/>
      <c r="F11" s="41"/>
    </row>
    <row r="12" spans="2:6" ht="21" customHeight="1">
      <c r="B12" s="249" t="s">
        <v>195</v>
      </c>
      <c r="C12" s="249"/>
      <c r="D12" s="249"/>
      <c r="E12" s="249"/>
      <c r="F12" s="249"/>
    </row>
    <row r="13" spans="2:6">
      <c r="B13" s="67" t="s">
        <v>9</v>
      </c>
      <c r="C13" s="67" t="s">
        <v>21</v>
      </c>
      <c r="D13" s="67" t="s">
        <v>10</v>
      </c>
      <c r="E13" s="67" t="s">
        <v>11</v>
      </c>
      <c r="F13" s="67" t="s">
        <v>12</v>
      </c>
    </row>
    <row r="14" spans="2:6" ht="39" customHeight="1">
      <c r="B14" s="58" t="s">
        <v>16</v>
      </c>
      <c r="C14" s="66">
        <v>300</v>
      </c>
      <c r="D14" s="65">
        <v>640</v>
      </c>
      <c r="E14" s="65">
        <f>D14*C14</f>
        <v>192000</v>
      </c>
      <c r="F14" s="64" t="s">
        <v>23</v>
      </c>
    </row>
    <row r="15" spans="2:6" ht="80.25" customHeight="1">
      <c r="B15" s="63" t="s">
        <v>17</v>
      </c>
      <c r="C15" s="62">
        <v>1</v>
      </c>
      <c r="D15" s="61">
        <v>786000</v>
      </c>
      <c r="E15" s="61">
        <f t="shared" ref="E15" si="1">D15*C15</f>
        <v>786000</v>
      </c>
      <c r="F15" s="60" t="s">
        <v>22</v>
      </c>
    </row>
    <row r="16" spans="2:6">
      <c r="B16" s="247" t="s">
        <v>7</v>
      </c>
      <c r="C16" s="247"/>
      <c r="D16" s="247"/>
      <c r="E16" s="59">
        <f>SUM(E14:E15)</f>
        <v>978000</v>
      </c>
      <c r="F16" s="56"/>
    </row>
    <row r="17" spans="2:6">
      <c r="B17" s="58"/>
      <c r="C17" s="56"/>
      <c r="D17" s="57"/>
      <c r="E17" s="57"/>
      <c r="F17" s="56"/>
    </row>
    <row r="18" spans="2:6">
      <c r="B18" s="51"/>
      <c r="C18" s="41"/>
      <c r="D18" s="41"/>
      <c r="E18" s="41"/>
      <c r="F18" s="41"/>
    </row>
    <row r="19" spans="2:6">
      <c r="B19" s="51"/>
      <c r="C19" s="41"/>
      <c r="D19" s="41"/>
      <c r="E19" s="41"/>
      <c r="F19" s="41"/>
    </row>
    <row r="20" spans="2:6" ht="18" customHeight="1">
      <c r="B20" s="55" t="s">
        <v>0</v>
      </c>
      <c r="C20" s="54">
        <v>2024</v>
      </c>
      <c r="D20" s="41"/>
      <c r="E20" s="41"/>
      <c r="F20" s="41"/>
    </row>
    <row r="21" spans="2:6" ht="8.25" customHeight="1">
      <c r="B21" s="41"/>
      <c r="C21" s="41"/>
      <c r="D21" s="41"/>
      <c r="E21" s="41"/>
      <c r="F21" s="41"/>
    </row>
    <row r="22" spans="2:6" ht="20.25" customHeight="1">
      <c r="B22" s="53" t="s">
        <v>1</v>
      </c>
      <c r="C22" s="52">
        <v>0</v>
      </c>
      <c r="D22" s="41"/>
      <c r="E22" s="41"/>
      <c r="F22" s="41"/>
    </row>
    <row r="23" spans="2:6" ht="18.75" customHeight="1">
      <c r="B23" s="51" t="s">
        <v>2</v>
      </c>
      <c r="C23" s="52">
        <f>80*200</f>
        <v>16000</v>
      </c>
      <c r="D23" s="41"/>
      <c r="E23" s="41"/>
      <c r="F23" s="41"/>
    </row>
    <row r="24" spans="2:6" ht="17.25" customHeight="1">
      <c r="B24" s="51" t="s">
        <v>3</v>
      </c>
      <c r="C24" s="52">
        <v>0</v>
      </c>
      <c r="D24" s="41"/>
      <c r="E24" s="41"/>
      <c r="F24" s="41"/>
    </row>
    <row r="25" spans="2:6" ht="37.5" customHeight="1">
      <c r="B25" s="51" t="s">
        <v>6</v>
      </c>
      <c r="C25" s="52">
        <v>0</v>
      </c>
      <c r="D25" s="41"/>
      <c r="E25" s="41"/>
      <c r="F25" s="41"/>
    </row>
    <row r="26" spans="2:6" ht="38.25" customHeight="1">
      <c r="B26" s="51" t="s">
        <v>4</v>
      </c>
      <c r="C26" s="50">
        <f>E16+E9</f>
        <v>1478666.6666666665</v>
      </c>
      <c r="D26" s="41"/>
      <c r="E26" s="41"/>
      <c r="F26" s="41"/>
    </row>
    <row r="27" spans="2:6" ht="19.5" customHeight="1">
      <c r="B27" s="49" t="s">
        <v>5</v>
      </c>
      <c r="C27" s="48">
        <v>0</v>
      </c>
      <c r="D27" s="41"/>
      <c r="E27" s="41"/>
      <c r="F27" s="41"/>
    </row>
    <row r="28" spans="2:6">
      <c r="B28" s="46" t="s">
        <v>7</v>
      </c>
      <c r="C28" s="47">
        <f>SUM(C22:C27)</f>
        <v>1494666.6666666665</v>
      </c>
      <c r="D28" s="41"/>
      <c r="E28" s="41"/>
      <c r="F28" s="41"/>
    </row>
    <row r="29" spans="2:6">
      <c r="B29" s="46"/>
      <c r="C29" s="41"/>
      <c r="D29" s="41"/>
      <c r="E29" s="41"/>
      <c r="F29" s="41"/>
    </row>
    <row r="30" spans="2:6" ht="33">
      <c r="B30" s="45" t="s">
        <v>149</v>
      </c>
      <c r="C30" s="44">
        <f>C28/3</f>
        <v>498222.22222222219</v>
      </c>
      <c r="D30" s="41"/>
      <c r="E30" s="41"/>
      <c r="F30" s="41"/>
    </row>
    <row r="31" spans="2:6" ht="33">
      <c r="B31" s="43" t="s">
        <v>8</v>
      </c>
      <c r="C31" s="42">
        <f>C30/4</f>
        <v>124555.55555555555</v>
      </c>
      <c r="D31" s="41"/>
      <c r="E31" s="41"/>
      <c r="F31" s="41"/>
    </row>
  </sheetData>
  <mergeCells count="4">
    <mergeCell ref="B16:D16"/>
    <mergeCell ref="B3:F3"/>
    <mergeCell ref="B12:F12"/>
    <mergeCell ref="B9:D9"/>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6D68E-32BA-4203-B1A5-F5CDC4FB0DA9}">
  <dimension ref="B1:H47"/>
  <sheetViews>
    <sheetView showGridLines="0" topLeftCell="C1" zoomScaleNormal="100" workbookViewId="0">
      <selection activeCell="F27" sqref="F27"/>
    </sheetView>
  </sheetViews>
  <sheetFormatPr baseColWidth="10" defaultColWidth="11.5703125" defaultRowHeight="16.5"/>
  <cols>
    <col min="1" max="1" width="11.5703125" style="1"/>
    <col min="2" max="2" width="34.85546875" style="1" customWidth="1"/>
    <col min="3" max="3" width="18.42578125" style="1" customWidth="1"/>
    <col min="4" max="4" width="11.140625" style="1" customWidth="1"/>
    <col min="5" max="5" width="17.7109375" style="1" customWidth="1"/>
    <col min="6" max="6" width="98.7109375" style="1" customWidth="1"/>
    <col min="7" max="16384" width="11.5703125" style="1"/>
  </cols>
  <sheetData>
    <row r="1" spans="2:8">
      <c r="B1" s="41"/>
      <c r="C1" s="41"/>
      <c r="D1" s="41"/>
      <c r="E1" s="41"/>
      <c r="F1" s="41"/>
    </row>
    <row r="2" spans="2:8">
      <c r="B2" s="251" t="s">
        <v>26</v>
      </c>
      <c r="C2" s="251"/>
      <c r="D2" s="251"/>
      <c r="E2" s="251"/>
      <c r="F2" s="251"/>
    </row>
    <row r="3" spans="2:8">
      <c r="B3" s="41"/>
      <c r="C3" s="41"/>
      <c r="D3" s="41"/>
      <c r="E3" s="41"/>
      <c r="F3" s="41"/>
    </row>
    <row r="4" spans="2:8">
      <c r="B4" s="71" t="s">
        <v>37</v>
      </c>
      <c r="C4" s="201">
        <f>ROUNDDOWN('Prom Est.'!D10,0)</f>
        <v>23</v>
      </c>
      <c r="D4" s="71"/>
      <c r="E4" s="41"/>
      <c r="F4" s="41"/>
    </row>
    <row r="5" spans="2:8">
      <c r="B5" s="41"/>
      <c r="C5" s="41"/>
      <c r="D5" s="41"/>
      <c r="E5" s="41"/>
      <c r="F5" s="41"/>
    </row>
    <row r="6" spans="2:8">
      <c r="B6" s="255" t="s">
        <v>184</v>
      </c>
      <c r="C6" s="255"/>
      <c r="D6" s="255"/>
      <c r="E6" s="255"/>
      <c r="F6" s="255"/>
    </row>
    <row r="7" spans="2:8" ht="5.25" customHeight="1">
      <c r="B7" s="41"/>
      <c r="C7" s="41"/>
      <c r="D7" s="41"/>
      <c r="E7" s="41"/>
      <c r="F7" s="41"/>
    </row>
    <row r="8" spans="2:8">
      <c r="B8" s="54" t="s">
        <v>9</v>
      </c>
      <c r="C8" s="54" t="s">
        <v>27</v>
      </c>
      <c r="D8" s="54" t="s">
        <v>28</v>
      </c>
      <c r="E8" s="54" t="s">
        <v>11</v>
      </c>
      <c r="F8" s="54" t="s">
        <v>12</v>
      </c>
    </row>
    <row r="9" spans="2:8" ht="33.75" customHeight="1">
      <c r="B9" s="64" t="s">
        <v>32</v>
      </c>
      <c r="C9" s="65">
        <v>200000</v>
      </c>
      <c r="D9" s="66">
        <v>30</v>
      </c>
      <c r="E9" s="73">
        <f>D9*C9</f>
        <v>6000000</v>
      </c>
      <c r="F9" s="64" t="s">
        <v>152</v>
      </c>
    </row>
    <row r="10" spans="2:8" ht="36" customHeight="1">
      <c r="B10" s="64" t="s">
        <v>33</v>
      </c>
      <c r="C10" s="65">
        <v>200000</v>
      </c>
      <c r="D10" s="66">
        <v>10</v>
      </c>
      <c r="E10" s="73">
        <f t="shared" ref="E10:E14" si="0">D10*C10</f>
        <v>2000000</v>
      </c>
      <c r="F10" s="64" t="s">
        <v>152</v>
      </c>
    </row>
    <row r="11" spans="2:8" ht="51" customHeight="1">
      <c r="B11" s="64" t="s">
        <v>138</v>
      </c>
      <c r="C11" s="65">
        <v>0</v>
      </c>
      <c r="D11" s="66">
        <v>1</v>
      </c>
      <c r="E11" s="73">
        <v>0</v>
      </c>
      <c r="F11" s="64" t="s">
        <v>182</v>
      </c>
    </row>
    <row r="12" spans="2:8" ht="63.6" customHeight="1">
      <c r="B12" s="56" t="s">
        <v>31</v>
      </c>
      <c r="C12" s="65">
        <v>9666.6666666666661</v>
      </c>
      <c r="D12" s="66">
        <v>16</v>
      </c>
      <c r="E12" s="73">
        <f t="shared" si="0"/>
        <v>154666.66666666666</v>
      </c>
      <c r="F12" s="64" t="s">
        <v>153</v>
      </c>
    </row>
    <row r="13" spans="2:8" ht="48.6" customHeight="1">
      <c r="B13" s="56" t="s">
        <v>29</v>
      </c>
      <c r="C13" s="65">
        <f>Inversión!C31</f>
        <v>124555.55555555555</v>
      </c>
      <c r="D13" s="66">
        <v>1</v>
      </c>
      <c r="E13" s="73">
        <f t="shared" si="0"/>
        <v>124555.55555555555</v>
      </c>
      <c r="F13" s="64" t="s">
        <v>154</v>
      </c>
    </row>
    <row r="14" spans="2:8" ht="65.45" customHeight="1">
      <c r="B14" s="64" t="s">
        <v>30</v>
      </c>
      <c r="C14" s="95">
        <v>9666.6666666666661</v>
      </c>
      <c r="D14" s="66">
        <v>4</v>
      </c>
      <c r="E14" s="73">
        <f t="shared" si="0"/>
        <v>38666.666666666664</v>
      </c>
      <c r="F14" s="64" t="s">
        <v>155</v>
      </c>
      <c r="G14" s="41"/>
      <c r="H14" s="41"/>
    </row>
    <row r="15" spans="2:8" ht="50.45" customHeight="1">
      <c r="B15" s="200" t="s">
        <v>156</v>
      </c>
      <c r="C15" s="95">
        <v>0</v>
      </c>
      <c r="D15" s="66">
        <v>1</v>
      </c>
      <c r="E15" s="95">
        <v>0</v>
      </c>
      <c r="F15" s="202" t="s">
        <v>199</v>
      </c>
      <c r="G15" s="41"/>
      <c r="H15" s="41"/>
    </row>
    <row r="16" spans="2:8">
      <c r="B16" s="254" t="s">
        <v>7</v>
      </c>
      <c r="C16" s="254"/>
      <c r="D16" s="93"/>
      <c r="E16" s="68">
        <f>SUM(E9:E15)</f>
        <v>8317888.8888888899</v>
      </c>
      <c r="F16" s="93"/>
      <c r="G16" s="41"/>
      <c r="H16" s="41"/>
    </row>
    <row r="17" spans="2:8">
      <c r="B17" s="41"/>
      <c r="C17" s="41"/>
      <c r="D17" s="41"/>
      <c r="E17" s="41"/>
      <c r="F17" s="41"/>
      <c r="G17" s="41"/>
      <c r="H17" s="41"/>
    </row>
    <row r="18" spans="2:8" ht="22.5" customHeight="1">
      <c r="B18" s="255" t="s">
        <v>185</v>
      </c>
      <c r="C18" s="255"/>
      <c r="D18" s="255"/>
      <c r="E18" s="255"/>
      <c r="F18" s="255"/>
      <c r="G18" s="41"/>
      <c r="H18" s="41"/>
    </row>
    <row r="19" spans="2:8" ht="18" customHeight="1">
      <c r="B19" s="41"/>
      <c r="C19" s="41"/>
      <c r="D19" s="41"/>
      <c r="E19" s="41"/>
      <c r="F19" s="41"/>
      <c r="G19" s="41"/>
      <c r="H19" s="41"/>
    </row>
    <row r="20" spans="2:8">
      <c r="B20" s="75" t="s">
        <v>40</v>
      </c>
      <c r="C20" s="41"/>
      <c r="D20" s="41"/>
      <c r="E20" s="41"/>
      <c r="F20" s="41"/>
      <c r="G20" s="41"/>
      <c r="H20" s="41"/>
    </row>
    <row r="21" spans="2:8">
      <c r="B21" s="54" t="s">
        <v>9</v>
      </c>
      <c r="C21" s="54" t="s">
        <v>27</v>
      </c>
      <c r="D21" s="54" t="s">
        <v>28</v>
      </c>
      <c r="E21" s="54" t="s">
        <v>11</v>
      </c>
      <c r="F21" s="54" t="s">
        <v>12</v>
      </c>
      <c r="G21" s="41"/>
      <c r="H21" s="41"/>
    </row>
    <row r="22" spans="2:8" ht="52.5" customHeight="1">
      <c r="B22" s="56" t="s">
        <v>35</v>
      </c>
      <c r="C22" s="95">
        <v>9400</v>
      </c>
      <c r="D22" s="66">
        <f>C4</f>
        <v>23</v>
      </c>
      <c r="E22" s="73">
        <f>D22*C22</f>
        <v>216200</v>
      </c>
      <c r="F22" s="199" t="s">
        <v>183</v>
      </c>
      <c r="G22" s="41"/>
      <c r="H22" s="41"/>
    </row>
    <row r="23" spans="2:8" ht="51.75" customHeight="1">
      <c r="B23" s="64" t="s">
        <v>57</v>
      </c>
      <c r="C23" s="95">
        <v>14333.333333333334</v>
      </c>
      <c r="D23" s="66">
        <f>$C$4</f>
        <v>23</v>
      </c>
      <c r="E23" s="73">
        <f>D23*C23</f>
        <v>329666.66666666669</v>
      </c>
      <c r="F23" s="76" t="s">
        <v>38</v>
      </c>
      <c r="G23" s="41"/>
      <c r="H23" s="41"/>
    </row>
    <row r="24" spans="2:8" ht="39.75" customHeight="1">
      <c r="B24" s="64" t="s">
        <v>36</v>
      </c>
      <c r="C24" s="95">
        <v>6000</v>
      </c>
      <c r="D24" s="66">
        <f>C4</f>
        <v>23</v>
      </c>
      <c r="E24" s="73">
        <f t="shared" ref="E24" si="1">D24*C24</f>
        <v>138000</v>
      </c>
      <c r="F24" s="79" t="s">
        <v>139</v>
      </c>
      <c r="G24" s="41"/>
      <c r="H24" s="41"/>
    </row>
    <row r="25" spans="2:8">
      <c r="B25" s="254" t="s">
        <v>39</v>
      </c>
      <c r="C25" s="254"/>
      <c r="D25" s="93"/>
      <c r="E25" s="68">
        <f>SUM(E22:E24)</f>
        <v>683866.66666666674</v>
      </c>
      <c r="F25" s="93"/>
      <c r="G25" s="41"/>
      <c r="H25" s="41"/>
    </row>
    <row r="26" spans="2:8">
      <c r="B26" s="41"/>
      <c r="C26" s="41"/>
      <c r="D26" s="41"/>
      <c r="E26" s="41"/>
      <c r="F26" s="41"/>
      <c r="G26" s="41"/>
      <c r="H26" s="41"/>
    </row>
    <row r="27" spans="2:8">
      <c r="B27" s="75" t="s">
        <v>41</v>
      </c>
      <c r="C27" s="41"/>
      <c r="D27" s="41"/>
      <c r="E27" s="41"/>
      <c r="F27" s="41"/>
      <c r="G27" s="41"/>
      <c r="H27" s="41"/>
    </row>
    <row r="28" spans="2:8">
      <c r="B28" s="54" t="s">
        <v>9</v>
      </c>
      <c r="C28" s="54" t="s">
        <v>27</v>
      </c>
      <c r="D28" s="54" t="s">
        <v>28</v>
      </c>
      <c r="E28" s="54" t="s">
        <v>11</v>
      </c>
      <c r="F28" s="54" t="s">
        <v>12</v>
      </c>
      <c r="G28" s="41"/>
      <c r="H28" s="41"/>
    </row>
    <row r="29" spans="2:8" ht="36.75" customHeight="1">
      <c r="B29" s="203" t="s">
        <v>42</v>
      </c>
      <c r="C29" s="204">
        <f>7741/50</f>
        <v>154.82</v>
      </c>
      <c r="D29" s="196">
        <f>$C$4</f>
        <v>23</v>
      </c>
      <c r="E29" s="204">
        <f>D29*C29</f>
        <v>3560.8599999999997</v>
      </c>
      <c r="F29" s="64" t="s">
        <v>157</v>
      </c>
      <c r="G29" s="41"/>
      <c r="H29" s="41"/>
    </row>
    <row r="30" spans="2:8" ht="30.75" customHeight="1">
      <c r="B30" s="78" t="s">
        <v>43</v>
      </c>
      <c r="C30" s="204">
        <f>1069/500</f>
        <v>2.1379999999999999</v>
      </c>
      <c r="D30" s="196">
        <f t="shared" ref="D30:D34" si="2">$C$4</f>
        <v>23</v>
      </c>
      <c r="E30" s="204">
        <f t="shared" ref="E30:E35" si="3">D30*C30</f>
        <v>49.173999999999999</v>
      </c>
      <c r="F30" s="64" t="s">
        <v>157</v>
      </c>
      <c r="G30" s="41"/>
      <c r="H30" s="41"/>
    </row>
    <row r="31" spans="2:8" ht="27.75" customHeight="1">
      <c r="B31" s="203" t="s">
        <v>140</v>
      </c>
      <c r="C31" s="204">
        <f>48012/250</f>
        <v>192.048</v>
      </c>
      <c r="D31" s="196">
        <f t="shared" si="2"/>
        <v>23</v>
      </c>
      <c r="E31" s="204">
        <f t="shared" si="3"/>
        <v>4417.1040000000003</v>
      </c>
      <c r="F31" s="64" t="s">
        <v>157</v>
      </c>
      <c r="G31" s="41"/>
      <c r="H31" s="41"/>
    </row>
    <row r="32" spans="2:8" ht="19.5" customHeight="1">
      <c r="B32" s="203" t="s">
        <v>44</v>
      </c>
      <c r="C32" s="204">
        <f>109460/45</f>
        <v>2432.4444444444443</v>
      </c>
      <c r="D32" s="196">
        <f t="shared" si="2"/>
        <v>23</v>
      </c>
      <c r="E32" s="204">
        <f t="shared" si="3"/>
        <v>55946.222222222219</v>
      </c>
      <c r="F32" s="64" t="s">
        <v>157</v>
      </c>
      <c r="G32" s="41"/>
      <c r="H32" s="41"/>
    </row>
    <row r="33" spans="2:8" ht="19.5" customHeight="1">
      <c r="B33" s="203" t="s">
        <v>45</v>
      </c>
      <c r="C33" s="204">
        <f>19917/50</f>
        <v>398.34</v>
      </c>
      <c r="D33" s="196">
        <f t="shared" si="2"/>
        <v>23</v>
      </c>
      <c r="E33" s="204">
        <f t="shared" si="3"/>
        <v>9161.82</v>
      </c>
      <c r="F33" s="64" t="s">
        <v>157</v>
      </c>
      <c r="G33" s="41"/>
      <c r="H33" s="41"/>
    </row>
    <row r="34" spans="2:8" ht="19.5" customHeight="1">
      <c r="B34" s="203" t="s">
        <v>46</v>
      </c>
      <c r="C34" s="204">
        <f>6515/220</f>
        <v>29.613636363636363</v>
      </c>
      <c r="D34" s="196">
        <f t="shared" si="2"/>
        <v>23</v>
      </c>
      <c r="E34" s="204">
        <f t="shared" si="3"/>
        <v>681.11363636363637</v>
      </c>
      <c r="F34" s="64" t="s">
        <v>157</v>
      </c>
      <c r="G34" s="41"/>
      <c r="H34" s="41"/>
    </row>
    <row r="35" spans="2:8" ht="33.75" customHeight="1">
      <c r="B35" s="205" t="s">
        <v>47</v>
      </c>
      <c r="C35" s="206">
        <f>2000*20</f>
        <v>40000</v>
      </c>
      <c r="D35" s="207">
        <f>$C$4</f>
        <v>23</v>
      </c>
      <c r="E35" s="206">
        <f t="shared" si="3"/>
        <v>920000</v>
      </c>
      <c r="F35" s="60" t="s">
        <v>141</v>
      </c>
      <c r="G35" s="41"/>
      <c r="H35" s="41"/>
    </row>
    <row r="36" spans="2:8">
      <c r="B36" s="253" t="s">
        <v>48</v>
      </c>
      <c r="C36" s="253"/>
      <c r="D36" s="41"/>
      <c r="E36" s="47">
        <f>SUM(E29:E35)</f>
        <v>993816.29385858588</v>
      </c>
      <c r="F36" s="41"/>
      <c r="G36" s="41"/>
      <c r="H36" s="41"/>
    </row>
    <row r="37" spans="2:8">
      <c r="B37" s="41"/>
      <c r="C37" s="41"/>
      <c r="D37" s="41"/>
      <c r="E37" s="41"/>
      <c r="F37" s="41"/>
    </row>
    <row r="38" spans="2:8">
      <c r="B38" s="75" t="s">
        <v>49</v>
      </c>
      <c r="C38" s="41"/>
      <c r="D38" s="41"/>
      <c r="E38" s="41"/>
      <c r="F38" s="41"/>
    </row>
    <row r="39" spans="2:8">
      <c r="B39" s="54" t="s">
        <v>9</v>
      </c>
      <c r="C39" s="54" t="s">
        <v>27</v>
      </c>
      <c r="D39" s="54" t="s">
        <v>28</v>
      </c>
      <c r="E39" s="54" t="s">
        <v>11</v>
      </c>
      <c r="F39" s="54" t="s">
        <v>12</v>
      </c>
    </row>
    <row r="40" spans="2:8" ht="42" customHeight="1">
      <c r="B40" s="41" t="s">
        <v>50</v>
      </c>
      <c r="C40" s="65">
        <v>2000</v>
      </c>
      <c r="D40" s="66">
        <f>$C$4</f>
        <v>23</v>
      </c>
      <c r="E40" s="73">
        <f>D40*C40</f>
        <v>46000</v>
      </c>
      <c r="F40" s="79" t="s">
        <v>53</v>
      </c>
    </row>
    <row r="41" spans="2:8" ht="42.75" customHeight="1">
      <c r="B41" s="41" t="s">
        <v>51</v>
      </c>
      <c r="C41" s="65">
        <v>5000</v>
      </c>
      <c r="D41" s="66">
        <f t="shared" ref="D41:D42" si="4">$C$4</f>
        <v>23</v>
      </c>
      <c r="E41" s="73">
        <f t="shared" ref="E41:E42" si="5">D41*C41</f>
        <v>115000</v>
      </c>
      <c r="F41" s="79" t="s">
        <v>54</v>
      </c>
    </row>
    <row r="42" spans="2:8" ht="55.5" customHeight="1">
      <c r="B42" s="80" t="s">
        <v>52</v>
      </c>
      <c r="C42" s="61">
        <v>1500</v>
      </c>
      <c r="D42" s="62">
        <f t="shared" si="4"/>
        <v>23</v>
      </c>
      <c r="E42" s="74">
        <f t="shared" si="5"/>
        <v>34500</v>
      </c>
      <c r="F42" s="77" t="s">
        <v>55</v>
      </c>
    </row>
    <row r="43" spans="2:8" ht="51.6" customHeight="1">
      <c r="B43" s="253" t="s">
        <v>56</v>
      </c>
      <c r="C43" s="253"/>
      <c r="D43" s="41"/>
      <c r="E43" s="81">
        <f>SUM(E40:E42)</f>
        <v>195500</v>
      </c>
      <c r="F43" s="41"/>
    </row>
    <row r="44" spans="2:8">
      <c r="B44" s="251" t="s">
        <v>58</v>
      </c>
      <c r="C44" s="251"/>
      <c r="D44" s="55"/>
      <c r="E44" s="252">
        <f>E43+E36+E25</f>
        <v>1873182.9605252526</v>
      </c>
      <c r="F44" s="252"/>
    </row>
    <row r="45" spans="2:8" ht="51.6" customHeight="1">
      <c r="B45" s="46"/>
      <c r="C45" s="46"/>
      <c r="D45" s="41"/>
      <c r="E45" s="81"/>
      <c r="F45" s="41"/>
    </row>
    <row r="46" spans="2:8">
      <c r="B46" s="4"/>
      <c r="C46" s="7"/>
    </row>
    <row r="47" spans="2:8">
      <c r="B47" s="4"/>
      <c r="C47" s="7"/>
    </row>
  </sheetData>
  <mergeCells count="9">
    <mergeCell ref="B44:C44"/>
    <mergeCell ref="E44:F44"/>
    <mergeCell ref="B43:C43"/>
    <mergeCell ref="B2:F2"/>
    <mergeCell ref="B16:C16"/>
    <mergeCell ref="B25:C25"/>
    <mergeCell ref="B18:F18"/>
    <mergeCell ref="B6:F6"/>
    <mergeCell ref="B36:C36"/>
  </mergeCells>
  <hyperlinks>
    <hyperlink ref="F29" r:id="rId1" xr:uid="{818B8AFE-1063-4D64-9ECC-1A2041F9600E}"/>
    <hyperlink ref="F30" r:id="rId2" xr:uid="{CAE91F05-6ED0-426A-A2C0-2E644E8A634B}"/>
    <hyperlink ref="F31" r:id="rId3" xr:uid="{6A83134C-907B-417C-9DFF-291CA8FF11CA}"/>
    <hyperlink ref="F32" r:id="rId4" xr:uid="{5775F335-6AC3-46F9-A796-68F5ABC0E592}"/>
    <hyperlink ref="F33" r:id="rId5" xr:uid="{FFB130F6-29DA-4B4C-A6B0-F51447BB7623}"/>
    <hyperlink ref="F34" r:id="rId6" xr:uid="{93F092B3-E334-4DB0-A59D-BB104C5B6576}"/>
  </hyperlinks>
  <pageMargins left="0.7" right="0.7" top="0.75" bottom="0.75" header="0.3" footer="0.3"/>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A097-2CFD-48BD-B68A-9E4A2162E1C2}">
  <sheetPr>
    <outlinePr summaryBelow="0" summaryRight="0"/>
  </sheetPr>
  <dimension ref="B2:E10"/>
  <sheetViews>
    <sheetView showGridLines="0" topLeftCell="A13" workbookViewId="0">
      <selection activeCell="C22" sqref="C22"/>
    </sheetView>
  </sheetViews>
  <sheetFormatPr baseColWidth="10" defaultColWidth="14.42578125" defaultRowHeight="15" customHeight="1"/>
  <cols>
    <col min="3" max="3" width="41.42578125" customWidth="1"/>
    <col min="4" max="4" width="39" customWidth="1"/>
    <col min="5" max="5" width="35.85546875" customWidth="1"/>
  </cols>
  <sheetData>
    <row r="2" spans="2:5" ht="16.5">
      <c r="B2" s="256" t="s">
        <v>158</v>
      </c>
      <c r="C2" s="251"/>
      <c r="D2" s="251"/>
      <c r="E2" s="251"/>
    </row>
    <row r="3" spans="2:5" ht="71.25" customHeight="1">
      <c r="B3" s="82" t="s">
        <v>24</v>
      </c>
      <c r="C3" s="83" t="s">
        <v>159</v>
      </c>
      <c r="D3" s="83" t="s">
        <v>160</v>
      </c>
      <c r="E3" s="83" t="s">
        <v>161</v>
      </c>
    </row>
    <row r="4" spans="2:5" ht="16.5">
      <c r="B4" s="84">
        <v>1</v>
      </c>
      <c r="C4" s="84">
        <v>27</v>
      </c>
      <c r="D4" s="84">
        <v>27</v>
      </c>
      <c r="E4" s="84">
        <v>21</v>
      </c>
    </row>
    <row r="5" spans="2:5" ht="16.5">
      <c r="B5" s="84">
        <v>2</v>
      </c>
      <c r="C5" s="84">
        <v>24</v>
      </c>
      <c r="D5" s="84">
        <v>35</v>
      </c>
      <c r="E5" s="84">
        <v>18</v>
      </c>
    </row>
    <row r="6" spans="2:5" ht="16.5">
      <c r="B6" s="84">
        <v>3</v>
      </c>
      <c r="C6" s="84">
        <v>25</v>
      </c>
      <c r="D6" s="84">
        <v>23</v>
      </c>
      <c r="E6" s="84">
        <v>22</v>
      </c>
    </row>
    <row r="7" spans="2:5" ht="16.5">
      <c r="B7" s="84">
        <v>4</v>
      </c>
      <c r="C7" s="84">
        <v>25</v>
      </c>
      <c r="D7" s="84">
        <v>19</v>
      </c>
      <c r="E7" s="85"/>
    </row>
    <row r="8" spans="2:5" ht="16.5">
      <c r="B8" s="86">
        <v>5</v>
      </c>
      <c r="C8" s="86">
        <v>18</v>
      </c>
      <c r="D8" s="87"/>
      <c r="E8" s="87"/>
    </row>
    <row r="9" spans="2:5" ht="16.5">
      <c r="B9" s="88" t="s">
        <v>25</v>
      </c>
      <c r="C9" s="88">
        <f t="shared" ref="C9:E9" si="0">AVERAGE(C4:C8)</f>
        <v>23.8</v>
      </c>
      <c r="D9" s="88">
        <f t="shared" si="0"/>
        <v>26</v>
      </c>
      <c r="E9" s="88">
        <f t="shared" si="0"/>
        <v>20.333333333333332</v>
      </c>
    </row>
    <row r="10" spans="2:5" ht="17.25" thickBot="1">
      <c r="B10" s="89"/>
      <c r="C10" s="90" t="s">
        <v>25</v>
      </c>
      <c r="D10" s="91">
        <f>AVERAGE(C9:E9)</f>
        <v>23.377777777777776</v>
      </c>
      <c r="E10" s="92"/>
    </row>
  </sheetData>
  <mergeCells count="1">
    <mergeCell ref="B2:E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085B-BC81-46F5-8F87-C563BDCAF853}">
  <dimension ref="B1:N128"/>
  <sheetViews>
    <sheetView showGridLines="0" topLeftCell="A133" zoomScale="80" zoomScaleNormal="80" workbookViewId="0">
      <selection activeCell="K20" sqref="K20"/>
    </sheetView>
  </sheetViews>
  <sheetFormatPr baseColWidth="10" defaultColWidth="11.5703125" defaultRowHeight="16.5"/>
  <cols>
    <col min="1" max="2" width="11.5703125" style="1"/>
    <col min="3" max="3" width="31.5703125" style="1" customWidth="1"/>
    <col min="4" max="4" width="18.85546875" style="1" customWidth="1"/>
    <col min="5" max="5" width="14.28515625" style="1" customWidth="1"/>
    <col min="6" max="6" width="15.140625" style="1" customWidth="1"/>
    <col min="7" max="7" width="14.7109375" style="1" customWidth="1"/>
    <col min="8" max="8" width="14.85546875" style="1" customWidth="1"/>
    <col min="9" max="9" width="13.7109375" style="1" customWidth="1"/>
    <col min="10" max="10" width="14.140625" style="1" customWidth="1"/>
    <col min="11" max="11" width="14.5703125" style="1" customWidth="1"/>
    <col min="12" max="16384" width="11.5703125" style="1"/>
  </cols>
  <sheetData>
    <row r="1" spans="2:9">
      <c r="C1" s="41"/>
      <c r="D1" s="41"/>
      <c r="E1" s="41"/>
      <c r="F1" s="41"/>
      <c r="G1" s="41"/>
      <c r="H1" s="41"/>
      <c r="I1" s="41"/>
    </row>
    <row r="2" spans="2:9">
      <c r="C2" s="239" t="s">
        <v>80</v>
      </c>
      <c r="D2" s="41"/>
      <c r="E2" s="41"/>
      <c r="F2" s="41"/>
      <c r="G2" s="41"/>
      <c r="H2" s="41"/>
      <c r="I2" s="41"/>
    </row>
    <row r="3" spans="2:9">
      <c r="C3" s="41"/>
      <c r="D3" s="41"/>
      <c r="E3" s="41"/>
      <c r="F3" s="41"/>
      <c r="G3" s="41"/>
      <c r="H3" s="41"/>
      <c r="I3" s="41"/>
    </row>
    <row r="4" spans="2:9">
      <c r="C4" s="41"/>
      <c r="D4" s="54" t="s">
        <v>27</v>
      </c>
      <c r="E4" s="54" t="s">
        <v>82</v>
      </c>
      <c r="F4" s="41"/>
      <c r="G4" s="41"/>
      <c r="H4" s="41"/>
      <c r="I4" s="41"/>
    </row>
    <row r="5" spans="2:9">
      <c r="C5" s="93" t="s">
        <v>81</v>
      </c>
      <c r="D5" s="94">
        <v>200000</v>
      </c>
      <c r="E5" s="93">
        <v>40</v>
      </c>
      <c r="F5" s="41"/>
      <c r="G5" s="41"/>
      <c r="H5" s="41"/>
      <c r="I5" s="41"/>
    </row>
    <row r="6" spans="2:9">
      <c r="C6" s="41"/>
      <c r="D6" s="95"/>
      <c r="E6" s="41"/>
      <c r="F6" s="41"/>
      <c r="G6" s="41"/>
      <c r="H6" s="41"/>
      <c r="I6" s="41"/>
    </row>
    <row r="7" spans="2:9">
      <c r="C7" s="80" t="s">
        <v>83</v>
      </c>
      <c r="D7" s="96">
        <v>7.0000000000000007E-2</v>
      </c>
      <c r="E7" s="80"/>
      <c r="F7" s="41"/>
      <c r="G7" s="41"/>
      <c r="H7" s="41"/>
      <c r="I7" s="41"/>
    </row>
    <row r="8" spans="2:9">
      <c r="C8" s="41"/>
      <c r="D8" s="41"/>
      <c r="E8" s="41"/>
      <c r="F8" s="41"/>
      <c r="G8" s="41"/>
      <c r="H8" s="41"/>
      <c r="I8" s="41"/>
    </row>
    <row r="9" spans="2:9">
      <c r="C9" s="41"/>
      <c r="D9" s="41"/>
      <c r="E9" s="41"/>
      <c r="F9" s="41"/>
      <c r="G9" s="41"/>
      <c r="H9" s="41"/>
      <c r="I9" s="41"/>
    </row>
    <row r="10" spans="2:9">
      <c r="C10" s="251" t="s">
        <v>26</v>
      </c>
      <c r="D10" s="251"/>
      <c r="E10" s="41"/>
      <c r="F10" s="41"/>
      <c r="G10" s="41"/>
      <c r="H10" s="41"/>
      <c r="I10" s="41"/>
    </row>
    <row r="11" spans="2:9">
      <c r="C11" s="71" t="s">
        <v>37</v>
      </c>
      <c r="D11" s="41">
        <v>23</v>
      </c>
      <c r="E11" s="41"/>
      <c r="F11" s="41"/>
      <c r="G11" s="41"/>
      <c r="H11" s="41"/>
      <c r="I11" s="41"/>
    </row>
    <row r="12" spans="2:9">
      <c r="C12" s="71" t="s">
        <v>34</v>
      </c>
      <c r="D12" s="47">
        <f>SUM(Presupuesto!E11:E15)+D5*E5</f>
        <v>8317888.888888889</v>
      </c>
      <c r="E12" s="41"/>
      <c r="F12" s="41"/>
      <c r="G12" s="41"/>
      <c r="H12" s="41"/>
      <c r="I12" s="41"/>
    </row>
    <row r="13" spans="2:9">
      <c r="C13" s="80" t="s">
        <v>131</v>
      </c>
      <c r="D13" s="97">
        <f>SUM(Presupuesto!C22:C24,Presupuesto!C29:C35,Presupuesto!C40:C42)</f>
        <v>81442.737414141418</v>
      </c>
      <c r="E13" s="50"/>
      <c r="F13" s="41"/>
      <c r="G13" s="41"/>
      <c r="H13" s="41"/>
      <c r="I13" s="41"/>
    </row>
    <row r="14" spans="2:9">
      <c r="C14" s="71" t="s">
        <v>73</v>
      </c>
      <c r="D14" s="47">
        <f>D13*D11</f>
        <v>1873182.9605252526</v>
      </c>
      <c r="E14" s="41"/>
      <c r="F14" s="41"/>
      <c r="G14" s="41"/>
      <c r="H14" s="41"/>
      <c r="I14" s="41"/>
    </row>
    <row r="15" spans="2:9">
      <c r="B15" s="209">
        <v>0.02</v>
      </c>
      <c r="C15" s="98" t="s">
        <v>192</v>
      </c>
      <c r="D15" s="99">
        <f>B15*(D12)</f>
        <v>166357.77777777778</v>
      </c>
      <c r="E15" s="41"/>
      <c r="F15" s="41"/>
      <c r="G15" s="41"/>
      <c r="H15" s="41"/>
      <c r="I15" s="41"/>
    </row>
    <row r="16" spans="2:9">
      <c r="B16" s="6"/>
      <c r="C16" s="71" t="s">
        <v>60</v>
      </c>
      <c r="D16" s="47">
        <f>D15+D14+D12</f>
        <v>10357429.62719192</v>
      </c>
      <c r="E16" s="41"/>
      <c r="F16" s="41"/>
      <c r="G16" s="41"/>
      <c r="H16" s="41"/>
      <c r="I16" s="41"/>
    </row>
    <row r="17" spans="2:9">
      <c r="B17" s="6"/>
      <c r="C17" s="71" t="s">
        <v>59</v>
      </c>
      <c r="D17" s="47">
        <f>D16/D11</f>
        <v>450323.02726921393</v>
      </c>
      <c r="F17" s="41"/>
      <c r="G17" s="41"/>
      <c r="H17" s="41"/>
      <c r="I17" s="41"/>
    </row>
    <row r="18" spans="2:9">
      <c r="B18" s="5"/>
      <c r="C18" s="98" t="s">
        <v>142</v>
      </c>
      <c r="D18" s="96">
        <v>0.2</v>
      </c>
      <c r="E18" s="41"/>
      <c r="F18" s="41"/>
      <c r="G18" s="41"/>
      <c r="H18" s="41"/>
      <c r="I18" s="41"/>
    </row>
    <row r="19" spans="2:9">
      <c r="C19" s="71" t="s">
        <v>74</v>
      </c>
      <c r="D19" s="208">
        <v>651786.79403105774</v>
      </c>
      <c r="E19" s="41"/>
      <c r="F19" s="41"/>
      <c r="G19" s="41"/>
      <c r="H19" s="41"/>
      <c r="I19" s="41"/>
    </row>
    <row r="20" spans="2:9">
      <c r="C20" s="41"/>
      <c r="D20" s="41"/>
      <c r="E20" s="41"/>
      <c r="F20" s="41"/>
      <c r="G20" s="41"/>
      <c r="H20" s="41"/>
      <c r="I20" s="41"/>
    </row>
    <row r="21" spans="2:9">
      <c r="C21" s="251" t="s">
        <v>61</v>
      </c>
      <c r="D21" s="251"/>
      <c r="E21" s="41"/>
      <c r="F21" s="41"/>
      <c r="G21" s="41"/>
      <c r="H21" s="41"/>
      <c r="I21" s="41"/>
    </row>
    <row r="22" spans="2:9">
      <c r="C22" s="71" t="s">
        <v>62</v>
      </c>
      <c r="D22" s="50">
        <f>D19*D11</f>
        <v>14991096.262714328</v>
      </c>
      <c r="E22" s="41"/>
      <c r="F22" s="41"/>
      <c r="G22" s="41"/>
      <c r="H22" s="41"/>
      <c r="I22" s="41"/>
    </row>
    <row r="23" spans="2:9">
      <c r="C23" s="98" t="s">
        <v>162</v>
      </c>
      <c r="D23" s="97">
        <f>D14</f>
        <v>1873182.9605252526</v>
      </c>
      <c r="E23" s="41"/>
      <c r="F23" s="41"/>
      <c r="G23" s="41"/>
      <c r="H23" s="41"/>
      <c r="I23" s="41"/>
    </row>
    <row r="24" spans="2:9">
      <c r="C24" s="71" t="s">
        <v>64</v>
      </c>
      <c r="D24" s="50">
        <f>D22-D23</f>
        <v>13117913.302189076</v>
      </c>
      <c r="E24" s="41"/>
      <c r="F24" s="41"/>
      <c r="G24" s="41"/>
      <c r="H24" s="41"/>
      <c r="I24" s="41"/>
    </row>
    <row r="25" spans="2:9">
      <c r="C25" s="41"/>
      <c r="D25" s="41"/>
      <c r="E25" s="41"/>
      <c r="F25" s="41"/>
      <c r="G25" s="41"/>
      <c r="H25" s="41"/>
      <c r="I25" s="41"/>
    </row>
    <row r="26" spans="2:9">
      <c r="C26" s="98" t="s">
        <v>71</v>
      </c>
      <c r="D26" s="97">
        <f>D12</f>
        <v>8317888.888888889</v>
      </c>
      <c r="E26" s="41"/>
      <c r="F26" s="41"/>
      <c r="G26" s="41"/>
      <c r="H26" s="41"/>
      <c r="I26" s="41"/>
    </row>
    <row r="27" spans="2:9">
      <c r="C27" s="71" t="s">
        <v>65</v>
      </c>
      <c r="D27" s="50">
        <f>D24-D26</f>
        <v>4800024.4133001873</v>
      </c>
      <c r="E27" s="41"/>
      <c r="F27" s="41"/>
      <c r="G27" s="41"/>
      <c r="H27" s="50"/>
      <c r="I27" s="41"/>
    </row>
    <row r="28" spans="2:9">
      <c r="C28" s="41"/>
      <c r="D28" s="41"/>
      <c r="E28" s="41"/>
      <c r="F28" s="41"/>
      <c r="G28" s="41"/>
      <c r="H28" s="41"/>
      <c r="I28" s="41"/>
    </row>
    <row r="29" spans="2:9">
      <c r="C29" s="98" t="s">
        <v>66</v>
      </c>
      <c r="D29" s="97">
        <f>D15</f>
        <v>166357.77777777778</v>
      </c>
      <c r="E29" s="41"/>
      <c r="F29" s="41"/>
      <c r="G29" s="41"/>
      <c r="H29" s="41"/>
      <c r="I29" s="41"/>
    </row>
    <row r="30" spans="2:9">
      <c r="C30" s="71" t="s">
        <v>67</v>
      </c>
      <c r="D30" s="50">
        <f>D27-D29</f>
        <v>4633666.6355224093</v>
      </c>
      <c r="E30" s="41"/>
      <c r="F30" s="41"/>
      <c r="G30" s="41"/>
      <c r="H30" s="41"/>
      <c r="I30" s="41"/>
    </row>
    <row r="31" spans="2:9">
      <c r="C31" s="41"/>
      <c r="D31" s="41"/>
      <c r="E31" s="41"/>
      <c r="F31" s="41"/>
      <c r="G31" s="41"/>
      <c r="H31" s="41"/>
      <c r="I31" s="41"/>
    </row>
    <row r="32" spans="2:9">
      <c r="B32" s="4">
        <v>0.11</v>
      </c>
      <c r="C32" s="98" t="s">
        <v>186</v>
      </c>
      <c r="D32" s="97">
        <f>B32*D22</f>
        <v>1649020.5888985761</v>
      </c>
      <c r="E32" s="41"/>
      <c r="F32" s="41"/>
      <c r="G32" s="41"/>
      <c r="H32" s="41"/>
      <c r="I32" s="41"/>
    </row>
    <row r="33" spans="3:9">
      <c r="C33" s="71" t="s">
        <v>69</v>
      </c>
      <c r="D33" s="50">
        <f>D30-D32</f>
        <v>2984646.0466238335</v>
      </c>
      <c r="E33" s="100"/>
      <c r="F33" s="41"/>
      <c r="G33" s="41"/>
      <c r="H33" s="41"/>
      <c r="I33" s="41"/>
    </row>
    <row r="34" spans="3:9">
      <c r="C34" s="41"/>
      <c r="D34" s="41"/>
      <c r="E34" s="100"/>
      <c r="F34" s="41"/>
      <c r="G34" s="41"/>
      <c r="H34" s="41"/>
      <c r="I34" s="41"/>
    </row>
    <row r="35" spans="3:9">
      <c r="C35" s="240" t="s">
        <v>143</v>
      </c>
      <c r="D35" s="101">
        <f>D33/D22</f>
        <v>0.19909458216522888</v>
      </c>
      <c r="E35" s="102"/>
      <c r="F35" s="41"/>
      <c r="G35" s="41"/>
      <c r="H35" s="41"/>
      <c r="I35" s="41"/>
    </row>
    <row r="36" spans="3:9" ht="49.5">
      <c r="C36" s="241" t="s">
        <v>163</v>
      </c>
      <c r="D36" s="102">
        <f>D18-D35</f>
        <v>9.054178347711328E-4</v>
      </c>
      <c r="E36" s="41"/>
      <c r="F36" s="41"/>
      <c r="G36" s="41"/>
      <c r="H36" s="41"/>
      <c r="I36" s="41"/>
    </row>
    <row r="37" spans="3:9">
      <c r="E37" s="41"/>
      <c r="F37" s="41"/>
      <c r="G37" s="41"/>
      <c r="H37" s="41"/>
      <c r="I37" s="41"/>
    </row>
    <row r="38" spans="3:9">
      <c r="C38" s="251" t="s">
        <v>78</v>
      </c>
      <c r="D38" s="251"/>
      <c r="E38" s="41"/>
      <c r="F38" s="41"/>
      <c r="G38" s="41"/>
      <c r="H38" s="41"/>
      <c r="I38" s="41"/>
    </row>
    <row r="39" spans="3:9">
      <c r="C39" s="41" t="s">
        <v>187</v>
      </c>
      <c r="D39" s="100">
        <v>0.2</v>
      </c>
      <c r="E39" s="41"/>
      <c r="F39" s="41"/>
      <c r="G39" s="41"/>
      <c r="H39" s="41"/>
      <c r="I39" s="41"/>
    </row>
    <row r="40" spans="3:9">
      <c r="C40" s="41" t="s">
        <v>75</v>
      </c>
      <c r="D40" s="100">
        <v>0.11</v>
      </c>
      <c r="E40" s="41"/>
      <c r="F40" s="41"/>
      <c r="G40" s="41"/>
      <c r="H40" s="41"/>
      <c r="I40" s="41"/>
    </row>
    <row r="41" spans="3:9">
      <c r="C41" s="41" t="s">
        <v>144</v>
      </c>
      <c r="D41" s="50">
        <f>D19</f>
        <v>651786.79403105774</v>
      </c>
      <c r="E41" s="41"/>
      <c r="F41" s="41"/>
      <c r="G41" s="41"/>
      <c r="H41" s="41"/>
      <c r="I41" s="41"/>
    </row>
    <row r="42" spans="3:9">
      <c r="C42" s="41" t="s">
        <v>131</v>
      </c>
      <c r="D42" s="50">
        <f>D13</f>
        <v>81442.737414141418</v>
      </c>
      <c r="E42" s="41"/>
      <c r="F42" s="41"/>
      <c r="G42" s="41"/>
      <c r="H42" s="41"/>
      <c r="I42" s="41"/>
    </row>
    <row r="43" spans="3:9">
      <c r="C43" s="41" t="s">
        <v>145</v>
      </c>
      <c r="D43" s="103">
        <f>D12+D15</f>
        <v>8484246.666666666</v>
      </c>
      <c r="E43" s="41"/>
      <c r="F43" s="41"/>
      <c r="G43" s="41"/>
      <c r="H43" s="41"/>
      <c r="I43" s="41"/>
    </row>
    <row r="44" spans="3:9">
      <c r="C44" s="41"/>
      <c r="D44" s="41"/>
      <c r="E44" s="41"/>
      <c r="F44" s="41"/>
      <c r="G44" s="41"/>
      <c r="H44" s="41"/>
      <c r="I44" s="41"/>
    </row>
    <row r="45" spans="3:9">
      <c r="C45" s="242" t="s">
        <v>76</v>
      </c>
      <c r="D45" s="104">
        <f>D43/(D41-D42-D41*D39-D41*(D40))</f>
        <v>23.036854653598017</v>
      </c>
      <c r="E45" s="41"/>
      <c r="F45" s="41"/>
      <c r="G45" s="41"/>
      <c r="H45" s="41"/>
      <c r="I45" s="41"/>
    </row>
    <row r="46" spans="3:9">
      <c r="C46" s="105" t="s">
        <v>132</v>
      </c>
      <c r="D46" s="106">
        <f>D45*D41</f>
        <v>15015117.639228104</v>
      </c>
      <c r="E46" s="41"/>
      <c r="F46" s="41"/>
      <c r="G46" s="41"/>
      <c r="H46" s="41"/>
      <c r="I46" s="41"/>
    </row>
    <row r="47" spans="3:9">
      <c r="C47" s="41"/>
      <c r="D47" s="41"/>
      <c r="E47" s="41"/>
      <c r="F47" s="41"/>
      <c r="G47" s="41"/>
      <c r="H47" s="41"/>
      <c r="I47" s="41"/>
    </row>
    <row r="48" spans="3:9">
      <c r="C48" s="41"/>
      <c r="D48" s="41"/>
      <c r="E48" s="41"/>
      <c r="F48" s="41"/>
      <c r="G48" s="41"/>
      <c r="H48" s="41"/>
      <c r="I48" s="41"/>
    </row>
    <row r="49" spans="2:11">
      <c r="C49" s="260" t="s">
        <v>146</v>
      </c>
      <c r="D49" s="260"/>
      <c r="E49" s="260"/>
      <c r="F49" s="260"/>
      <c r="G49" s="260"/>
      <c r="H49" s="260"/>
      <c r="I49" s="260"/>
    </row>
    <row r="51" spans="2:11">
      <c r="C51" s="243" t="s">
        <v>79</v>
      </c>
    </row>
    <row r="52" spans="2:11">
      <c r="B52" s="107"/>
    </row>
    <row r="53" spans="2:11" ht="19.5" customHeight="1">
      <c r="B53" s="108">
        <v>0.01</v>
      </c>
      <c r="D53" s="214"/>
      <c r="E53" s="262" t="s">
        <v>84</v>
      </c>
      <c r="F53" s="262"/>
      <c r="G53" s="262"/>
      <c r="H53" s="262"/>
      <c r="I53" s="262"/>
      <c r="J53" s="262"/>
      <c r="K53" s="263"/>
    </row>
    <row r="54" spans="2:11">
      <c r="B54" s="109">
        <v>25000</v>
      </c>
      <c r="C54" s="244"/>
      <c r="D54" s="215">
        <f>D45</f>
        <v>23.036854653598017</v>
      </c>
      <c r="E54" s="211">
        <f t="shared" ref="E54:F54" si="0">F54-$B$54</f>
        <v>125000</v>
      </c>
      <c r="F54" s="211">
        <f t="shared" si="0"/>
        <v>150000</v>
      </c>
      <c r="G54" s="211">
        <f>H54-$B$54</f>
        <v>175000</v>
      </c>
      <c r="H54" s="211">
        <v>200000</v>
      </c>
      <c r="I54" s="211">
        <f>H54+$B$54</f>
        <v>225000</v>
      </c>
      <c r="J54" s="211">
        <f t="shared" ref="J54:K54" si="1">I54+$B$54</f>
        <v>250000</v>
      </c>
      <c r="K54" s="212">
        <f t="shared" si="1"/>
        <v>275000</v>
      </c>
    </row>
    <row r="55" spans="2:11">
      <c r="B55" s="107"/>
      <c r="C55" s="257" t="s">
        <v>188</v>
      </c>
      <c r="D55" s="219">
        <f t="shared" ref="D55:D60" si="2">D56-$B$53</f>
        <v>7.0000000000000034E-2</v>
      </c>
      <c r="E55" s="16">
        <f t="dataTable" ref="E55:K68" dt2D="1" dtr="1" r1="D5" r2="D39"/>
        <v>11.973461496086893</v>
      </c>
      <c r="F55" s="16">
        <v>14.225005623137768</v>
      </c>
      <c r="G55" s="16">
        <v>16.476549750188646</v>
      </c>
      <c r="H55" s="220">
        <v>18.72809387723952</v>
      </c>
      <c r="I55" s="16">
        <v>20.979638004290397</v>
      </c>
      <c r="J55" s="17">
        <v>23.231182131341274</v>
      </c>
      <c r="K55" s="18">
        <v>25.482726258392152</v>
      </c>
    </row>
    <row r="56" spans="2:11">
      <c r="B56" s="107"/>
      <c r="C56" s="258"/>
      <c r="D56" s="216">
        <f t="shared" si="2"/>
        <v>8.0000000000000029E-2</v>
      </c>
      <c r="E56" s="210">
        <v>12.148244570675663</v>
      </c>
      <c r="F56" s="210">
        <v>14.432655701577254</v>
      </c>
      <c r="G56" s="210">
        <v>16.717066832478842</v>
      </c>
      <c r="H56" s="210">
        <v>19.001477963380431</v>
      </c>
      <c r="I56" s="210">
        <v>21.28588909428202</v>
      </c>
      <c r="J56" s="210">
        <v>23.570300225183608</v>
      </c>
      <c r="K56" s="13">
        <v>25.854711356085197</v>
      </c>
    </row>
    <row r="57" spans="2:11">
      <c r="B57" s="107"/>
      <c r="C57" s="258"/>
      <c r="D57" s="216">
        <f t="shared" si="2"/>
        <v>9.0000000000000024E-2</v>
      </c>
      <c r="E57" s="210">
        <v>12.328206042720723</v>
      </c>
      <c r="F57" s="210">
        <v>14.646457946869957</v>
      </c>
      <c r="G57" s="210">
        <v>16.96470985101919</v>
      </c>
      <c r="H57" s="210">
        <v>19.282961755168422</v>
      </c>
      <c r="I57" s="210">
        <v>21.601213659317658</v>
      </c>
      <c r="J57" s="210">
        <v>23.91946556346689</v>
      </c>
      <c r="K57" s="13">
        <v>26.237717467616125</v>
      </c>
    </row>
    <row r="58" spans="2:11">
      <c r="B58" s="107"/>
      <c r="C58" s="258"/>
      <c r="D58" s="216">
        <f t="shared" si="2"/>
        <v>0.10000000000000002</v>
      </c>
      <c r="E58" s="210">
        <v>12.513579507639569</v>
      </c>
      <c r="F58" s="210">
        <v>14.866689880777534</v>
      </c>
      <c r="G58" s="210">
        <v>17.219800253915498</v>
      </c>
      <c r="H58" s="210">
        <v>19.57291062705346</v>
      </c>
      <c r="I58" s="210">
        <v>21.926021000191426</v>
      </c>
      <c r="J58" s="210">
        <v>24.279131373329388</v>
      </c>
      <c r="K58" s="13">
        <v>26.632241746467354</v>
      </c>
    </row>
    <row r="59" spans="2:11">
      <c r="B59" s="107"/>
      <c r="C59" s="258"/>
      <c r="D59" s="216">
        <f t="shared" si="2"/>
        <v>0.11000000000000001</v>
      </c>
      <c r="E59" s="210">
        <v>12.704612825195902</v>
      </c>
      <c r="F59" s="210">
        <v>15.093645971740335</v>
      </c>
      <c r="G59" s="210">
        <v>17.482679118284768</v>
      </c>
      <c r="H59" s="210">
        <v>19.871712264829199</v>
      </c>
      <c r="I59" s="210">
        <v>22.26074541137363</v>
      </c>
      <c r="J59" s="210">
        <v>24.649778557918065</v>
      </c>
      <c r="K59" s="13">
        <v>27.038811704462496</v>
      </c>
    </row>
    <row r="60" spans="2:11">
      <c r="B60" s="107"/>
      <c r="C60" s="258"/>
      <c r="D60" s="216">
        <f t="shared" si="2"/>
        <v>0.12000000000000001</v>
      </c>
      <c r="E60" s="210">
        <v>12.901569225182381</v>
      </c>
      <c r="F60" s="210">
        <v>15.327638948477787</v>
      </c>
      <c r="G60" s="210">
        <v>17.753708671773193</v>
      </c>
      <c r="H60" s="210">
        <v>20.179778395068595</v>
      </c>
      <c r="I60" s="210">
        <v>22.605848118364001</v>
      </c>
      <c r="J60" s="210">
        <v>25.031917841659407</v>
      </c>
      <c r="K60" s="13">
        <v>27.457987564954813</v>
      </c>
    </row>
    <row r="61" spans="2:11">
      <c r="B61" s="107"/>
      <c r="C61" s="258"/>
      <c r="D61" s="216">
        <f>D62-$B$53</f>
        <v>0.13</v>
      </c>
      <c r="E61" s="210">
        <v>13.104728517569622</v>
      </c>
      <c r="F61" s="210">
        <v>15.569001237699302</v>
      </c>
      <c r="G61" s="210">
        <v>18.033273957828982</v>
      </c>
      <c r="H61" s="210">
        <v>20.49754667795866</v>
      </c>
      <c r="I61" s="210">
        <v>22.961819398088338</v>
      </c>
      <c r="J61" s="210">
        <v>25.426092118218016</v>
      </c>
      <c r="K61" s="13">
        <v>27.890364838347697</v>
      </c>
    </row>
    <row r="62" spans="2:11">
      <c r="B62" s="107"/>
      <c r="C62" s="258"/>
      <c r="D62" s="218">
        <v>0.14000000000000001</v>
      </c>
      <c r="E62" s="210">
        <v>13.314388418820766</v>
      </c>
      <c r="F62" s="210">
        <v>15.818086539825067</v>
      </c>
      <c r="G62" s="210">
        <v>18.321784660829369</v>
      </c>
      <c r="H62" s="213">
        <v>20.825482781833667</v>
      </c>
      <c r="I62" s="210">
        <v>23.329180902837969</v>
      </c>
      <c r="J62" s="210">
        <v>25.832879023842271</v>
      </c>
      <c r="K62" s="13">
        <v>28.336577144846572</v>
      </c>
    </row>
    <row r="63" spans="2:11">
      <c r="B63" s="107"/>
      <c r="C63" s="258"/>
      <c r="D63" s="216">
        <f>D62+$B$53</f>
        <v>0.15000000000000002</v>
      </c>
      <c r="E63" s="210">
        <v>13.530866007592701</v>
      </c>
      <c r="F63" s="210">
        <v>16.07527155842395</v>
      </c>
      <c r="G63" s="210">
        <v>18.619677109255196</v>
      </c>
      <c r="H63" s="210">
        <v>21.164082660086439</v>
      </c>
      <c r="I63" s="210">
        <v>23.708488210917686</v>
      </c>
      <c r="J63" s="210">
        <v>26.252893761748933</v>
      </c>
      <c r="K63" s="13">
        <v>28.797299312580183</v>
      </c>
    </row>
    <row r="64" spans="2:11">
      <c r="B64" s="107"/>
      <c r="C64" s="258"/>
      <c r="D64" s="216">
        <f t="shared" ref="D64:D68" si="3">D63+$B$53</f>
        <v>0.16000000000000003</v>
      </c>
      <c r="E64" s="210">
        <v>13.754499324793176</v>
      </c>
      <c r="F64" s="210">
        <v>16.340957901152603</v>
      </c>
      <c r="G64" s="210">
        <v>18.927416477512033</v>
      </c>
      <c r="H64" s="210">
        <v>21.513875053871455</v>
      </c>
      <c r="I64" s="210">
        <v>24.100333630230885</v>
      </c>
      <c r="J64" s="210">
        <v>26.686792206590312</v>
      </c>
      <c r="K64" s="13">
        <v>29.273250782949741</v>
      </c>
    </row>
    <row r="65" spans="2:14">
      <c r="B65" s="107"/>
      <c r="C65" s="258"/>
      <c r="D65" s="216">
        <f t="shared" si="3"/>
        <v>0.17000000000000004</v>
      </c>
      <c r="E65" s="210">
        <v>13.985649134975427</v>
      </c>
      <c r="F65" s="210">
        <v>16.615574172370778</v>
      </c>
      <c r="G65" s="210">
        <v>19.245499209766127</v>
      </c>
      <c r="H65" s="210">
        <v>21.875424247161472</v>
      </c>
      <c r="I65" s="210">
        <v>24.505349284556821</v>
      </c>
      <c r="J65" s="210">
        <v>27.135274321952171</v>
      </c>
      <c r="K65" s="13">
        <v>29.765199359347523</v>
      </c>
    </row>
    <row r="66" spans="2:14">
      <c r="B66" s="107"/>
      <c r="C66" s="258"/>
      <c r="D66" s="216">
        <f t="shared" si="3"/>
        <v>0.18000000000000005</v>
      </c>
      <c r="E66" s="210">
        <v>14.224700868374192</v>
      </c>
      <c r="F66" s="210">
        <v>16.89957828036658</v>
      </c>
      <c r="G66" s="210">
        <v>19.574455692358971</v>
      </c>
      <c r="H66" s="210">
        <v>22.249333104351358</v>
      </c>
      <c r="I66" s="210">
        <v>24.924210516343745</v>
      </c>
      <c r="J66" s="210">
        <v>27.599087928336132</v>
      </c>
      <c r="K66" s="13">
        <v>30.273965340328523</v>
      </c>
      <c r="N66" s="246" t="s">
        <v>198</v>
      </c>
    </row>
    <row r="67" spans="2:14">
      <c r="B67" s="107"/>
      <c r="C67" s="258"/>
      <c r="D67" s="216">
        <f t="shared" si="3"/>
        <v>0.19000000000000006</v>
      </c>
      <c r="E67" s="210">
        <v>14.472066765572416</v>
      </c>
      <c r="F67" s="210">
        <v>17.193459985316085</v>
      </c>
      <c r="G67" s="210">
        <v>19.914853205059753</v>
      </c>
      <c r="H67" s="210">
        <v>22.636246424803421</v>
      </c>
      <c r="I67" s="210">
        <v>25.357639644547088</v>
      </c>
      <c r="J67" s="210">
        <v>28.079032864290756</v>
      </c>
      <c r="K67" s="13">
        <v>30.800426084034427</v>
      </c>
    </row>
    <row r="68" spans="2:14">
      <c r="B68" s="107"/>
      <c r="C68" s="259"/>
      <c r="D68" s="217">
        <f t="shared" si="3"/>
        <v>0.20000000000000007</v>
      </c>
      <c r="E68" s="14">
        <v>14.728188249901216</v>
      </c>
      <c r="F68" s="14">
        <v>17.497743717800152</v>
      </c>
      <c r="G68" s="14">
        <v>20.267299185699088</v>
      </c>
      <c r="H68" s="221">
        <v>23.03685465359802</v>
      </c>
      <c r="I68" s="14">
        <v>25.806410121496956</v>
      </c>
      <c r="J68" s="14">
        <v>28.575965589395889</v>
      </c>
      <c r="K68" s="15">
        <v>31.345521057294825</v>
      </c>
    </row>
    <row r="69" spans="2:14">
      <c r="B69" s="107"/>
    </row>
    <row r="70" spans="2:14">
      <c r="B70" s="107"/>
      <c r="C70" s="260" t="s">
        <v>86</v>
      </c>
      <c r="D70" s="260"/>
      <c r="E70" s="260"/>
      <c r="F70" s="260"/>
      <c r="G70" s="260"/>
      <c r="H70" s="260"/>
      <c r="I70" s="260"/>
    </row>
    <row r="71" spans="2:14">
      <c r="B71" s="107"/>
    </row>
    <row r="72" spans="2:14">
      <c r="B72" s="107">
        <v>2</v>
      </c>
      <c r="D72" s="8"/>
      <c r="E72" s="261" t="s">
        <v>84</v>
      </c>
      <c r="F72" s="262"/>
      <c r="G72" s="262"/>
      <c r="H72" s="262"/>
      <c r="I72" s="262"/>
      <c r="J72" s="262"/>
      <c r="K72" s="263"/>
    </row>
    <row r="73" spans="2:14">
      <c r="B73" s="109">
        <v>25000</v>
      </c>
      <c r="C73" s="244"/>
      <c r="D73" s="12">
        <f>D33/1000</f>
        <v>2984.6460466238336</v>
      </c>
      <c r="E73" s="10">
        <f t="shared" ref="E73:F73" si="4">F73-$B$54</f>
        <v>125000</v>
      </c>
      <c r="F73" s="9">
        <f t="shared" si="4"/>
        <v>150000</v>
      </c>
      <c r="G73" s="9">
        <f>H73-$B$54</f>
        <v>175000</v>
      </c>
      <c r="H73" s="9">
        <v>200000</v>
      </c>
      <c r="I73" s="9">
        <f>H73+$B$54</f>
        <v>225000</v>
      </c>
      <c r="J73" s="9">
        <f t="shared" ref="J73:K73" si="5">I73+$B$54</f>
        <v>250000</v>
      </c>
      <c r="K73" s="11">
        <f t="shared" si="5"/>
        <v>275000</v>
      </c>
    </row>
    <row r="74" spans="2:14">
      <c r="B74" s="107"/>
      <c r="C74" s="257" t="s">
        <v>85</v>
      </c>
      <c r="D74" s="19">
        <v>13</v>
      </c>
      <c r="E74" s="33">
        <f t="dataTable" ref="E74:K84" dt2D="1" dtr="1" r1="D5" r2="D11" ca="1"/>
        <v>1058.1709538888338</v>
      </c>
      <c r="F74" s="34">
        <v>38.170953888833758</v>
      </c>
      <c r="G74" s="34">
        <v>-981.82904611116624</v>
      </c>
      <c r="H74" s="34">
        <v>-2001.8290461111662</v>
      </c>
      <c r="I74" s="34">
        <v>-3021.8290461111656</v>
      </c>
      <c r="J74" s="34">
        <v>-4041.8290461111656</v>
      </c>
      <c r="K74" s="35">
        <v>-5061.8290461111656</v>
      </c>
    </row>
    <row r="75" spans="2:14">
      <c r="B75" s="107"/>
      <c r="C75" s="258"/>
      <c r="D75" s="20">
        <v>15</v>
      </c>
      <c r="E75" s="36">
        <v>2055.4659724358335</v>
      </c>
      <c r="F75" s="3">
        <v>1035.4659724358335</v>
      </c>
      <c r="G75" s="3">
        <v>15.465972435833653</v>
      </c>
      <c r="H75" s="3">
        <v>-1004.5340275641663</v>
      </c>
      <c r="I75" s="3">
        <v>-2024.5340275641654</v>
      </c>
      <c r="J75" s="3">
        <v>-3044.5340275641652</v>
      </c>
      <c r="K75" s="37">
        <v>-4064.5340275641656</v>
      </c>
    </row>
    <row r="76" spans="2:14">
      <c r="B76" s="107"/>
      <c r="C76" s="258"/>
      <c r="D76" s="20">
        <v>17</v>
      </c>
      <c r="E76" s="36">
        <v>3052.7609909828316</v>
      </c>
      <c r="F76" s="3">
        <v>2032.7609909828318</v>
      </c>
      <c r="G76" s="3">
        <v>1012.7609909828317</v>
      </c>
      <c r="H76" s="3">
        <v>-7.2390090171680788</v>
      </c>
      <c r="I76" s="3">
        <v>-1027.2390090171671</v>
      </c>
      <c r="J76" s="3">
        <v>-2047.2390090171671</v>
      </c>
      <c r="K76" s="37">
        <v>-3067.2390090171671</v>
      </c>
    </row>
    <row r="77" spans="2:14">
      <c r="B77" s="107"/>
      <c r="C77" s="258"/>
      <c r="D77" s="20">
        <v>19</v>
      </c>
      <c r="E77" s="36">
        <v>4050.056009529832</v>
      </c>
      <c r="F77" s="3">
        <v>3030.056009529832</v>
      </c>
      <c r="G77" s="3">
        <v>2010.0560095298315</v>
      </c>
      <c r="H77" s="3">
        <v>990.05600952983161</v>
      </c>
      <c r="I77" s="3">
        <v>-29.94399047016725</v>
      </c>
      <c r="J77" s="3">
        <v>-1049.9439904701671</v>
      </c>
      <c r="K77" s="37">
        <v>-2069.9439904701671</v>
      </c>
    </row>
    <row r="78" spans="2:14">
      <c r="B78" s="107"/>
      <c r="C78" s="258"/>
      <c r="D78" s="20">
        <v>21</v>
      </c>
      <c r="E78" s="36">
        <v>5047.3510280768332</v>
      </c>
      <c r="F78" s="3">
        <v>4027.3510280768332</v>
      </c>
      <c r="G78" s="3">
        <v>3007.3510280768332</v>
      </c>
      <c r="H78" s="3">
        <v>1987.3510280768332</v>
      </c>
      <c r="I78" s="3">
        <v>967.35102807683427</v>
      </c>
      <c r="J78" s="3">
        <v>-52.64897192316549</v>
      </c>
      <c r="K78" s="37">
        <v>-1072.6489719231654</v>
      </c>
    </row>
    <row r="79" spans="2:14">
      <c r="B79" s="107"/>
      <c r="C79" s="258"/>
      <c r="D79" s="20">
        <v>23</v>
      </c>
      <c r="E79" s="36">
        <v>6044.6460466238332</v>
      </c>
      <c r="F79" s="3">
        <v>5024.6460466238332</v>
      </c>
      <c r="G79" s="3">
        <v>4004.6460466238336</v>
      </c>
      <c r="H79" s="38">
        <v>2984.6460466238336</v>
      </c>
      <c r="I79" s="3">
        <v>1964.6460466238341</v>
      </c>
      <c r="J79" s="3">
        <v>944.6460466238342</v>
      </c>
      <c r="K79" s="37">
        <v>-75.353953376165592</v>
      </c>
    </row>
    <row r="80" spans="2:14">
      <c r="B80" s="107"/>
      <c r="C80" s="258"/>
      <c r="D80" s="20">
        <v>25</v>
      </c>
      <c r="E80" s="36">
        <v>7041.9410651708304</v>
      </c>
      <c r="F80" s="3">
        <v>6021.9410651708313</v>
      </c>
      <c r="G80" s="3">
        <v>5001.9410651708313</v>
      </c>
      <c r="H80" s="3">
        <v>3981.9410651708308</v>
      </c>
      <c r="I80" s="3">
        <v>2961.9410651708322</v>
      </c>
      <c r="J80" s="3">
        <v>1941.9410651708322</v>
      </c>
      <c r="K80" s="37">
        <v>921.94106517083219</v>
      </c>
    </row>
    <row r="81" spans="2:11">
      <c r="B81" s="107"/>
      <c r="C81" s="258"/>
      <c r="D81" s="20">
        <v>27</v>
      </c>
      <c r="E81" s="36">
        <v>8039.2360837178321</v>
      </c>
      <c r="F81" s="3">
        <v>7019.2360837178321</v>
      </c>
      <c r="G81" s="3">
        <v>5999.236083717833</v>
      </c>
      <c r="H81" s="3">
        <v>4979.236083717833</v>
      </c>
      <c r="I81" s="3">
        <v>3959.2360837178344</v>
      </c>
      <c r="J81" s="3">
        <v>2939.2360837178344</v>
      </c>
      <c r="K81" s="37">
        <v>1919.2360837178339</v>
      </c>
    </row>
    <row r="82" spans="2:11">
      <c r="B82" s="107"/>
      <c r="C82" s="258"/>
      <c r="D82" s="20">
        <v>29</v>
      </c>
      <c r="E82" s="36">
        <v>9036.5311022648348</v>
      </c>
      <c r="F82" s="3">
        <v>8016.5311022648339</v>
      </c>
      <c r="G82" s="3">
        <v>6996.5311022648339</v>
      </c>
      <c r="H82" s="3">
        <v>5976.531102264833</v>
      </c>
      <c r="I82" s="3">
        <v>4956.5311022648339</v>
      </c>
      <c r="J82" s="3">
        <v>3936.5311022648339</v>
      </c>
      <c r="K82" s="37">
        <v>2916.5311022648339</v>
      </c>
    </row>
    <row r="83" spans="2:11">
      <c r="B83" s="107"/>
      <c r="C83" s="258"/>
      <c r="D83" s="20">
        <v>31</v>
      </c>
      <c r="E83" s="36">
        <v>10033.826120811831</v>
      </c>
      <c r="F83" s="3">
        <v>9013.8261208118311</v>
      </c>
      <c r="G83" s="3">
        <v>7993.826120811832</v>
      </c>
      <c r="H83" s="3">
        <v>6973.826120811832</v>
      </c>
      <c r="I83" s="3">
        <v>5953.826120811832</v>
      </c>
      <c r="J83" s="3">
        <v>4933.826120811832</v>
      </c>
      <c r="K83" s="37">
        <v>3913.826120811832</v>
      </c>
    </row>
    <row r="84" spans="2:11">
      <c r="B84" s="107"/>
      <c r="C84" s="259"/>
      <c r="D84" s="21">
        <v>33</v>
      </c>
      <c r="E84" s="39">
        <v>11031.121139358833</v>
      </c>
      <c r="F84" s="2">
        <v>10011.121139358833</v>
      </c>
      <c r="G84" s="2">
        <v>8991.1211393588328</v>
      </c>
      <c r="H84" s="2">
        <v>7971.1211393588337</v>
      </c>
      <c r="I84" s="2">
        <v>6951.1211393588337</v>
      </c>
      <c r="J84" s="2">
        <v>5931.1211393588337</v>
      </c>
      <c r="K84" s="40">
        <v>4911.1211393588337</v>
      </c>
    </row>
    <row r="85" spans="2:11">
      <c r="B85" s="107"/>
    </row>
    <row r="86" spans="2:11">
      <c r="B86" s="107"/>
    </row>
    <row r="87" spans="2:11">
      <c r="B87" s="107"/>
      <c r="C87" s="260" t="s">
        <v>133</v>
      </c>
      <c r="D87" s="260"/>
      <c r="E87" s="260"/>
      <c r="F87" s="260"/>
      <c r="G87" s="260"/>
      <c r="H87" s="260"/>
      <c r="I87" s="260"/>
    </row>
    <row r="88" spans="2:11">
      <c r="B88" s="107"/>
    </row>
    <row r="89" spans="2:11">
      <c r="B89" s="107"/>
    </row>
    <row r="90" spans="2:11">
      <c r="B90" s="107"/>
      <c r="D90" s="8"/>
      <c r="E90" s="261" t="s">
        <v>84</v>
      </c>
      <c r="F90" s="262"/>
      <c r="G90" s="262"/>
      <c r="H90" s="262"/>
      <c r="I90" s="262"/>
      <c r="J90" s="262"/>
      <c r="K90" s="263"/>
    </row>
    <row r="91" spans="2:11">
      <c r="B91" s="107"/>
      <c r="C91" s="244"/>
      <c r="D91" s="22">
        <f>D35</f>
        <v>0.19909458216522888</v>
      </c>
      <c r="E91" s="10">
        <f t="shared" ref="E91:F91" si="6">F91-$B$54</f>
        <v>125000</v>
      </c>
      <c r="F91" s="9">
        <f t="shared" si="6"/>
        <v>150000</v>
      </c>
      <c r="G91" s="9">
        <f>H91-$B$54</f>
        <v>175000</v>
      </c>
      <c r="H91" s="9">
        <v>200000</v>
      </c>
      <c r="I91" s="9">
        <f>H91+$B$54</f>
        <v>225000</v>
      </c>
      <c r="J91" s="9">
        <f t="shared" ref="J91:K91" si="7">I91+$B$54</f>
        <v>250000</v>
      </c>
      <c r="K91" s="11">
        <f t="shared" si="7"/>
        <v>275000</v>
      </c>
    </row>
    <row r="92" spans="2:11">
      <c r="B92" s="107"/>
      <c r="C92" s="257" t="s">
        <v>85</v>
      </c>
      <c r="D92" s="19">
        <v>13</v>
      </c>
      <c r="E92" s="23">
        <f t="dataTable" ref="E92:K102" dt2D="1" dtr="1" r1="D5" r2="D11" ca="1"/>
        <v>0.12488403635848722</v>
      </c>
      <c r="F92" s="24">
        <v>4.5048890973358215E-3</v>
      </c>
      <c r="G92" s="24">
        <v>-0.11587425816381558</v>
      </c>
      <c r="H92" s="24">
        <v>-0.23625340542496698</v>
      </c>
      <c r="I92" s="24">
        <v>-0.35663255268611826</v>
      </c>
      <c r="J92" s="24">
        <v>-0.47701169994726966</v>
      </c>
      <c r="K92" s="25">
        <v>-0.59739084720842106</v>
      </c>
    </row>
    <row r="93" spans="2:11">
      <c r="B93" s="107"/>
      <c r="C93" s="258"/>
      <c r="D93" s="20">
        <v>15</v>
      </c>
      <c r="E93" s="26">
        <v>0.21023909364835336</v>
      </c>
      <c r="F93" s="27">
        <v>0.10591049935535549</v>
      </c>
      <c r="G93" s="27">
        <v>1.5819050623576249E-3</v>
      </c>
      <c r="H93" s="27">
        <v>-0.10274668923064026</v>
      </c>
      <c r="I93" s="27">
        <v>-0.20707528352363805</v>
      </c>
      <c r="J93" s="27">
        <v>-0.31140387781663592</v>
      </c>
      <c r="K93" s="28">
        <v>-0.41573247210963382</v>
      </c>
    </row>
    <row r="94" spans="2:11">
      <c r="B94" s="107"/>
      <c r="C94" s="258"/>
      <c r="D94" s="20">
        <v>17</v>
      </c>
      <c r="E94" s="26">
        <v>0.27551060804648619</v>
      </c>
      <c r="F94" s="27">
        <v>0.18345596602325276</v>
      </c>
      <c r="G94" s="27">
        <v>9.1401324000019324E-2</v>
      </c>
      <c r="H94" s="27">
        <v>-6.5331802321408469E-4</v>
      </c>
      <c r="I94" s="27">
        <v>-9.2707960046447435E-2</v>
      </c>
      <c r="J94" s="27">
        <v>-0.18476260206968087</v>
      </c>
      <c r="K94" s="28">
        <v>-0.27681724409291431</v>
      </c>
    </row>
    <row r="95" spans="2:11">
      <c r="B95" s="107"/>
      <c r="C95" s="258"/>
      <c r="D95" s="20">
        <v>19</v>
      </c>
      <c r="E95" s="26">
        <v>0.32704075099238067</v>
      </c>
      <c r="F95" s="27">
        <v>0.24467607128738234</v>
      </c>
      <c r="G95" s="27">
        <v>0.16231139158238397</v>
      </c>
      <c r="H95" s="27">
        <v>7.994671187738564E-2</v>
      </c>
      <c r="I95" s="27">
        <v>-2.4179678276125961E-3</v>
      </c>
      <c r="J95" s="27">
        <v>-8.478264753261093E-2</v>
      </c>
      <c r="K95" s="28">
        <v>-0.16714732723760928</v>
      </c>
    </row>
    <row r="96" spans="2:11">
      <c r="B96" s="107"/>
      <c r="C96" s="258"/>
      <c r="D96" s="20">
        <v>21</v>
      </c>
      <c r="E96" s="26">
        <v>0.36875562861524769</v>
      </c>
      <c r="F96" s="27">
        <v>0.29423520412024917</v>
      </c>
      <c r="G96" s="27">
        <v>0.21971477962525071</v>
      </c>
      <c r="H96" s="27">
        <v>0.14519435513025222</v>
      </c>
      <c r="I96" s="27">
        <v>7.0673930635253818E-2</v>
      </c>
      <c r="J96" s="27">
        <v>-3.846493859744656E-3</v>
      </c>
      <c r="K96" s="28">
        <v>-7.8366918354743145E-2</v>
      </c>
    </row>
    <row r="97" spans="2:11">
      <c r="B97" s="107"/>
      <c r="C97" s="258"/>
      <c r="D97" s="20">
        <v>23</v>
      </c>
      <c r="E97" s="26">
        <v>0.40321574491239864</v>
      </c>
      <c r="F97" s="27">
        <v>0.33517535733000875</v>
      </c>
      <c r="G97" s="27">
        <v>0.2671349697476188</v>
      </c>
      <c r="H97" s="29">
        <v>0.19909458216522888</v>
      </c>
      <c r="I97" s="27">
        <v>0.13105419458283901</v>
      </c>
      <c r="J97" s="27">
        <v>6.3013807000449076E-2</v>
      </c>
      <c r="K97" s="28">
        <v>-5.0265805819408298E-3</v>
      </c>
    </row>
    <row r="98" spans="2:11">
      <c r="B98" s="107"/>
      <c r="C98" s="258"/>
      <c r="D98" s="20">
        <v>25</v>
      </c>
      <c r="E98" s="26">
        <v>0.43216224260200525</v>
      </c>
      <c r="F98" s="27">
        <v>0.36956508602620658</v>
      </c>
      <c r="G98" s="27">
        <v>0.30696792945040785</v>
      </c>
      <c r="H98" s="27">
        <v>0.24437077287460912</v>
      </c>
      <c r="I98" s="27">
        <v>0.18177361629881045</v>
      </c>
      <c r="J98" s="27">
        <v>0.11917645972301172</v>
      </c>
      <c r="K98" s="28">
        <v>5.6579303147212989E-2</v>
      </c>
    </row>
    <row r="99" spans="2:11">
      <c r="B99" s="107"/>
      <c r="C99" s="258"/>
      <c r="D99" s="20">
        <v>27</v>
      </c>
      <c r="E99" s="26">
        <v>0.45682037026352224</v>
      </c>
      <c r="F99" s="27">
        <v>0.39886004010074566</v>
      </c>
      <c r="G99" s="27">
        <v>0.34089970993796914</v>
      </c>
      <c r="H99" s="27">
        <v>0.28293937977519251</v>
      </c>
      <c r="I99" s="27">
        <v>0.22497904961241597</v>
      </c>
      <c r="J99" s="27">
        <v>0.16701871944963936</v>
      </c>
      <c r="K99" s="28">
        <v>0.10905838928686275</v>
      </c>
    </row>
    <row r="100" spans="2:11">
      <c r="B100" s="107"/>
      <c r="C100" s="258"/>
      <c r="D100" s="20">
        <v>29</v>
      </c>
      <c r="E100" s="26">
        <v>0.47807737686827834</v>
      </c>
      <c r="F100" s="27">
        <v>0.42411431085465873</v>
      </c>
      <c r="G100" s="27">
        <v>0.37015124484103912</v>
      </c>
      <c r="H100" s="27">
        <v>0.31618817882741945</v>
      </c>
      <c r="I100" s="27">
        <v>0.2622251128137999</v>
      </c>
      <c r="J100" s="27">
        <v>0.20826204680018032</v>
      </c>
      <c r="K100" s="28">
        <v>0.15429898078656074</v>
      </c>
    </row>
    <row r="101" spans="2:11">
      <c r="B101" s="107"/>
      <c r="C101" s="258"/>
      <c r="D101" s="20">
        <v>31</v>
      </c>
      <c r="E101" s="26">
        <v>0.49659154391113014</v>
      </c>
      <c r="F101" s="27">
        <v>0.44610996602742148</v>
      </c>
      <c r="G101" s="27">
        <v>0.39562838814371287</v>
      </c>
      <c r="H101" s="27">
        <v>0.34514681026000421</v>
      </c>
      <c r="I101" s="27">
        <v>0.29466523237629555</v>
      </c>
      <c r="J101" s="27">
        <v>0.24418365449258692</v>
      </c>
      <c r="K101" s="28">
        <v>0.19370207660887825</v>
      </c>
    </row>
    <row r="102" spans="2:11">
      <c r="B102" s="107"/>
      <c r="C102" s="259"/>
      <c r="D102" s="21">
        <v>33</v>
      </c>
      <c r="E102" s="30">
        <v>0.51286156949424255</v>
      </c>
      <c r="F102" s="31">
        <v>0.46543948117924355</v>
      </c>
      <c r="G102" s="31">
        <v>0.4180173928642445</v>
      </c>
      <c r="H102" s="31">
        <v>0.37059530454924544</v>
      </c>
      <c r="I102" s="31">
        <v>0.32317321623424644</v>
      </c>
      <c r="J102" s="31">
        <v>0.27575112791924739</v>
      </c>
      <c r="K102" s="32">
        <v>0.22832903960424833</v>
      </c>
    </row>
    <row r="104" spans="2:11">
      <c r="C104" s="260" t="s">
        <v>189</v>
      </c>
      <c r="D104" s="260"/>
      <c r="E104" s="260"/>
      <c r="F104" s="260"/>
      <c r="G104" s="260"/>
      <c r="H104" s="260"/>
      <c r="I104" s="260"/>
    </row>
    <row r="106" spans="2:11">
      <c r="C106" s="245" t="s">
        <v>194</v>
      </c>
      <c r="D106" s="8"/>
      <c r="E106" s="261" t="s">
        <v>190</v>
      </c>
      <c r="F106" s="262"/>
      <c r="G106" s="262"/>
      <c r="H106" s="262"/>
      <c r="I106" s="262"/>
      <c r="J106" s="262"/>
      <c r="K106" s="263"/>
    </row>
    <row r="107" spans="2:11">
      <c r="B107" s="222">
        <v>25000</v>
      </c>
      <c r="C107" s="244"/>
      <c r="D107" s="233">
        <f>D35</f>
        <v>0.19909458216522888</v>
      </c>
      <c r="E107" s="9">
        <f t="shared" ref="E107:F107" si="8">F107-$B$107</f>
        <v>576787</v>
      </c>
      <c r="F107" s="9">
        <f t="shared" si="8"/>
        <v>601787</v>
      </c>
      <c r="G107" s="9">
        <f>H107-$B$107</f>
        <v>626787</v>
      </c>
      <c r="H107" s="9">
        <v>651787</v>
      </c>
      <c r="I107" s="9">
        <f>H107+$B$107</f>
        <v>676787</v>
      </c>
      <c r="J107" s="9">
        <f t="shared" ref="J107:K107" si="9">I107+$B$107</f>
        <v>701787</v>
      </c>
      <c r="K107" s="11">
        <f t="shared" si="9"/>
        <v>726787</v>
      </c>
    </row>
    <row r="108" spans="2:11">
      <c r="C108" s="264" t="s">
        <v>191</v>
      </c>
      <c r="D108" s="234">
        <f>D109-$B$54</f>
        <v>125000</v>
      </c>
      <c r="E108" s="224">
        <f t="dataTable" ref="E108:K114" dt2D="1" dtr="1" r1="D19" r2="D5" ca="1"/>
        <v>0.33991903595548389</v>
      </c>
      <c r="F108" s="224">
        <v>0.36277101531215478</v>
      </c>
      <c r="G108" s="224">
        <v>0.38380004848801219</v>
      </c>
      <c r="H108" s="224">
        <v>0.4032158987393975</v>
      </c>
      <c r="I108" s="224">
        <v>0.42119733533837928</v>
      </c>
      <c r="J108" s="224">
        <v>0.43789765411963422</v>
      </c>
      <c r="K108" s="225">
        <v>0.45344905865357488</v>
      </c>
    </row>
    <row r="109" spans="2:11">
      <c r="C109" s="265"/>
      <c r="D109" s="235">
        <f>D110-$B$54</f>
        <v>150000</v>
      </c>
      <c r="E109" s="231">
        <v>0.2630313354924767</v>
      </c>
      <c r="F109" s="231">
        <v>0.28907745581858557</v>
      </c>
      <c r="G109" s="231">
        <v>0.31304582721833601</v>
      </c>
      <c r="H109" s="231">
        <v>0.33517553265821376</v>
      </c>
      <c r="I109" s="231">
        <v>0.35567032892874589</v>
      </c>
      <c r="J109" s="231">
        <v>0.37470493882716432</v>
      </c>
      <c r="K109" s="227">
        <v>0.39243004471007215</v>
      </c>
    </row>
    <row r="110" spans="2:11">
      <c r="C110" s="265"/>
      <c r="D110" s="235">
        <f>D111-$B$54</f>
        <v>175000</v>
      </c>
      <c r="E110" s="231">
        <v>0.18614363502946954</v>
      </c>
      <c r="F110" s="231">
        <v>0.21538389632501639</v>
      </c>
      <c r="G110" s="231">
        <v>0.24229160594865981</v>
      </c>
      <c r="H110" s="231">
        <v>0.26713516657702996</v>
      </c>
      <c r="I110" s="231">
        <v>0.29014332251911257</v>
      </c>
      <c r="J110" s="231">
        <v>0.31151222353469449</v>
      </c>
      <c r="K110" s="227">
        <v>0.33141103076656936</v>
      </c>
    </row>
    <row r="111" spans="2:11">
      <c r="C111" s="265"/>
      <c r="D111" s="235">
        <v>200000</v>
      </c>
      <c r="E111" s="231">
        <v>0.10925593456646236</v>
      </c>
      <c r="F111" s="231">
        <v>0.14169033683144722</v>
      </c>
      <c r="G111" s="231">
        <v>0.17153738467898363</v>
      </c>
      <c r="H111" s="232">
        <v>0.19909480049584621</v>
      </c>
      <c r="I111" s="231">
        <v>0.22461631610947924</v>
      </c>
      <c r="J111" s="231">
        <v>0.24831950824222465</v>
      </c>
      <c r="K111" s="227">
        <v>0.27039201682306663</v>
      </c>
    </row>
    <row r="112" spans="2:11">
      <c r="C112" s="265"/>
      <c r="D112" s="235">
        <f>D111+$B$54</f>
        <v>225000</v>
      </c>
      <c r="E112" s="231">
        <v>3.2368234103455275E-2</v>
      </c>
      <c r="F112" s="232">
        <v>6.7996777337878095E-2</v>
      </c>
      <c r="G112" s="231">
        <v>0.10078316340930754</v>
      </c>
      <c r="H112" s="231">
        <v>0.13105443441466252</v>
      </c>
      <c r="I112" s="231">
        <v>0.15908930969984594</v>
      </c>
      <c r="J112" s="231">
        <v>0.1851267929497549</v>
      </c>
      <c r="K112" s="227">
        <v>0.20937300287956395</v>
      </c>
    </row>
    <row r="113" spans="2:11">
      <c r="C113" s="265"/>
      <c r="D113" s="235">
        <f>D112+$B$54</f>
        <v>250000</v>
      </c>
      <c r="E113" s="231">
        <v>-4.4519466359551903E-2</v>
      </c>
      <c r="F113" s="231">
        <v>-5.6967821556910712E-3</v>
      </c>
      <c r="G113" s="231">
        <v>3.0028942139631386E-2</v>
      </c>
      <c r="H113" s="231">
        <v>6.3014068333478765E-2</v>
      </c>
      <c r="I113" s="231">
        <v>9.3562303290212617E-2</v>
      </c>
      <c r="J113" s="231">
        <v>0.12193407765728509</v>
      </c>
      <c r="K113" s="227">
        <v>0.14835398893606122</v>
      </c>
    </row>
    <row r="114" spans="2:11">
      <c r="C114" s="266"/>
      <c r="D114" s="236">
        <f>D113+$B$54</f>
        <v>275000</v>
      </c>
      <c r="E114" s="229">
        <v>-0.12140716682255909</v>
      </c>
      <c r="F114" s="229">
        <v>-7.939034164926026E-2</v>
      </c>
      <c r="G114" s="229">
        <v>-4.0725279130044791E-2</v>
      </c>
      <c r="H114" s="229">
        <v>-5.0262977477049777E-3</v>
      </c>
      <c r="I114" s="229">
        <v>2.8035296880579274E-2</v>
      </c>
      <c r="J114" s="229">
        <v>5.874136236481526E-2</v>
      </c>
      <c r="K114" s="230">
        <v>8.733497499255849E-2</v>
      </c>
    </row>
    <row r="116" spans="2:11">
      <c r="C116" s="245" t="s">
        <v>194</v>
      </c>
      <c r="D116" s="8"/>
      <c r="E116" s="261" t="s">
        <v>190</v>
      </c>
      <c r="F116" s="262"/>
      <c r="G116" s="262"/>
      <c r="H116" s="262"/>
      <c r="I116" s="262"/>
      <c r="J116" s="262"/>
      <c r="K116" s="263"/>
    </row>
    <row r="117" spans="2:11">
      <c r="B117" s="222">
        <v>25000</v>
      </c>
      <c r="C117" s="244"/>
      <c r="D117" s="233">
        <f>D35</f>
        <v>0.19909458216522888</v>
      </c>
      <c r="E117" s="9">
        <f t="shared" ref="E117:F117" si="10">F117-$B$107</f>
        <v>576787</v>
      </c>
      <c r="F117" s="9">
        <f t="shared" si="10"/>
        <v>601787</v>
      </c>
      <c r="G117" s="9">
        <f>H117-$B$107</f>
        <v>626787</v>
      </c>
      <c r="H117" s="9">
        <v>651787</v>
      </c>
      <c r="I117" s="9">
        <f>H117+$B$107</f>
        <v>676787</v>
      </c>
      <c r="J117" s="9">
        <f t="shared" ref="J117:K117" si="11">I117+$B$107</f>
        <v>701787</v>
      </c>
      <c r="K117" s="11">
        <f t="shared" si="11"/>
        <v>726787</v>
      </c>
    </row>
    <row r="118" spans="2:11">
      <c r="C118" s="257" t="s">
        <v>193</v>
      </c>
      <c r="D118" s="234">
        <v>13</v>
      </c>
      <c r="E118" s="223">
        <f t="dataTable" ref="E118:K128" dt2D="1" dtr="1" r1="D19" r2="D11" ca="1"/>
        <v>-0.38270048802851031</v>
      </c>
      <c r="F118" s="224">
        <v>-0.32982877062565391</v>
      </c>
      <c r="G118" s="224">
        <v>-0.28117473142949739</v>
      </c>
      <c r="H118" s="224">
        <v>-0.23625304952154672</v>
      </c>
      <c r="I118" s="224">
        <v>-0.19465011353424397</v>
      </c>
      <c r="J118" s="224">
        <v>-0.15601124898081664</v>
      </c>
      <c r="K118" s="225">
        <v>-0.1200305817089469</v>
      </c>
    </row>
    <row r="119" spans="2:11">
      <c r="C119" s="258"/>
      <c r="D119" s="235">
        <v>15</v>
      </c>
      <c r="E119" s="226">
        <v>-0.23183385176605209</v>
      </c>
      <c r="F119" s="231">
        <v>-0.18522957767214296</v>
      </c>
      <c r="G119" s="231">
        <v>-0.1423430158228966</v>
      </c>
      <c r="H119" s="231">
        <v>-0.10274637551621285</v>
      </c>
      <c r="I119" s="231">
        <v>-6.6075075110168816E-2</v>
      </c>
      <c r="J119" s="231">
        <v>-3.2016483432417281E-2</v>
      </c>
      <c r="K119" s="227">
        <v>-3.0098482579603731E-4</v>
      </c>
    </row>
    <row r="120" spans="2:11">
      <c r="C120" s="258"/>
      <c r="D120" s="235">
        <v>17</v>
      </c>
      <c r="E120" s="226">
        <v>-0.11646524756534872</v>
      </c>
      <c r="F120" s="231">
        <v>-7.4653724237105146E-2</v>
      </c>
      <c r="G120" s="231">
        <v>-3.6177586241378325E-2</v>
      </c>
      <c r="H120" s="231">
        <v>-6.5303657095768116E-4</v>
      </c>
      <c r="I120" s="231">
        <v>3.2247013096476741E-2</v>
      </c>
      <c r="J120" s="232">
        <v>6.2803043163417394E-2</v>
      </c>
      <c r="K120" s="227">
        <v>9.1256942202495625E-2</v>
      </c>
    </row>
    <row r="121" spans="2:11">
      <c r="C121" s="258"/>
      <c r="D121" s="235">
        <v>19</v>
      </c>
      <c r="E121" s="226">
        <v>-2.5384770564793369E-2</v>
      </c>
      <c r="F121" s="231">
        <v>1.2643002158977389E-2</v>
      </c>
      <c r="G121" s="231">
        <v>4.7637226586136158E-2</v>
      </c>
      <c r="H121" s="231">
        <v>7.9946967859507043E-2</v>
      </c>
      <c r="I121" s="231">
        <v>0.10986971431224966</v>
      </c>
      <c r="J121" s="231">
        <v>0.13766056416012909</v>
      </c>
      <c r="K121" s="227">
        <v>0.16353951617219972</v>
      </c>
    </row>
    <row r="122" spans="2:11">
      <c r="C122" s="258"/>
      <c r="D122" s="235">
        <v>21</v>
      </c>
      <c r="E122" s="226">
        <v>4.8347044149941933E-2</v>
      </c>
      <c r="F122" s="231">
        <v>8.3311780670091817E-2</v>
      </c>
      <c r="G122" s="231">
        <v>0.11548731316079075</v>
      </c>
      <c r="H122" s="231">
        <v>0.14519459049369279</v>
      </c>
      <c r="I122" s="231">
        <v>0.17270713910597066</v>
      </c>
      <c r="J122" s="231">
        <v>0.19825950972889575</v>
      </c>
      <c r="K122" s="227">
        <v>0.22205398081434113</v>
      </c>
    </row>
    <row r="123" spans="2:11">
      <c r="C123" s="258"/>
      <c r="D123" s="235">
        <v>23</v>
      </c>
      <c r="E123" s="226">
        <v>0.10925593456646236</v>
      </c>
      <c r="F123" s="231">
        <v>0.14169033683144722</v>
      </c>
      <c r="G123" s="231">
        <v>0.17153738467898363</v>
      </c>
      <c r="H123" s="232">
        <v>0.19909480049584621</v>
      </c>
      <c r="I123" s="231">
        <v>0.22461631610947924</v>
      </c>
      <c r="J123" s="231">
        <v>0.24831950824222465</v>
      </c>
      <c r="K123" s="227">
        <v>0.27039201682306663</v>
      </c>
    </row>
    <row r="124" spans="2:11">
      <c r="C124" s="258"/>
      <c r="D124" s="235">
        <v>25</v>
      </c>
      <c r="E124" s="226">
        <v>0.16041940251633943</v>
      </c>
      <c r="F124" s="231">
        <v>0.19072832400698564</v>
      </c>
      <c r="G124" s="231">
        <v>0.21861944475426559</v>
      </c>
      <c r="H124" s="231">
        <v>0.24437097689765502</v>
      </c>
      <c r="I124" s="231">
        <v>0.2682200247924264</v>
      </c>
      <c r="J124" s="231">
        <v>0.29036990699342091</v>
      </c>
      <c r="K124" s="237">
        <v>0.31099596707039595</v>
      </c>
    </row>
    <row r="125" spans="2:11">
      <c r="C125" s="258"/>
      <c r="D125" s="235">
        <v>27</v>
      </c>
      <c r="E125" s="226">
        <v>0.20400309743660522</v>
      </c>
      <c r="F125" s="231">
        <v>0.23250142419355554</v>
      </c>
      <c r="G125" s="231">
        <v>0.25872638481839477</v>
      </c>
      <c r="H125" s="231">
        <v>0.28293957161030708</v>
      </c>
      <c r="I125" s="231">
        <v>0.30536392478160368</v>
      </c>
      <c r="J125" s="231">
        <v>0.32619061704073626</v>
      </c>
      <c r="K125" s="237">
        <v>0.34558451728108391</v>
      </c>
    </row>
    <row r="126" spans="2:11">
      <c r="C126" s="258"/>
      <c r="D126" s="235">
        <v>29</v>
      </c>
      <c r="E126" s="226">
        <v>0.24157524822993773</v>
      </c>
      <c r="F126" s="231">
        <v>0.26851271745783989</v>
      </c>
      <c r="G126" s="231">
        <v>0.2933013331495406</v>
      </c>
      <c r="H126" s="231">
        <v>0.31618836015569673</v>
      </c>
      <c r="I126" s="231">
        <v>0.33738452822054971</v>
      </c>
      <c r="J126" s="231">
        <v>0.35707053949531864</v>
      </c>
      <c r="K126" s="237">
        <v>0.37540223297995307</v>
      </c>
    </row>
    <row r="127" spans="2:11">
      <c r="C127" s="258"/>
      <c r="D127" s="235">
        <v>31</v>
      </c>
      <c r="E127" s="226">
        <v>0.27429937956606598</v>
      </c>
      <c r="F127" s="231">
        <v>0.29987739223641008</v>
      </c>
      <c r="G127" s="231">
        <v>0.32341499782505467</v>
      </c>
      <c r="H127" s="231">
        <v>0.34514698243716513</v>
      </c>
      <c r="I127" s="231">
        <v>0.36527344089317992</v>
      </c>
      <c r="J127" s="231">
        <v>0.38396595582672882</v>
      </c>
      <c r="K127" s="237">
        <v>0.40137250149187115</v>
      </c>
    </row>
    <row r="128" spans="2:11">
      <c r="C128" s="259"/>
      <c r="D128" s="236">
        <v>33</v>
      </c>
      <c r="E128" s="228">
        <v>0.30305694952811835</v>
      </c>
      <c r="F128" s="229">
        <v>0.32744028825394167</v>
      </c>
      <c r="G128" s="229">
        <v>0.34987852132777925</v>
      </c>
      <c r="H128" s="229">
        <v>0.3705954686845162</v>
      </c>
      <c r="I128" s="229">
        <v>0.38978187930246116</v>
      </c>
      <c r="J128" s="229">
        <v>0.40760132169372587</v>
      </c>
      <c r="K128" s="238">
        <v>0.42419485866901141</v>
      </c>
    </row>
  </sheetData>
  <mergeCells count="17">
    <mergeCell ref="C104:I104"/>
    <mergeCell ref="E106:K106"/>
    <mergeCell ref="C108:C114"/>
    <mergeCell ref="E116:K116"/>
    <mergeCell ref="C118:C128"/>
    <mergeCell ref="C55:C68"/>
    <mergeCell ref="E53:K53"/>
    <mergeCell ref="C10:D10"/>
    <mergeCell ref="C21:D21"/>
    <mergeCell ref="C49:I49"/>
    <mergeCell ref="C38:D38"/>
    <mergeCell ref="C92:C102"/>
    <mergeCell ref="C70:I70"/>
    <mergeCell ref="E72:K72"/>
    <mergeCell ref="C74:C84"/>
    <mergeCell ref="C87:I87"/>
    <mergeCell ref="E90:K90"/>
  </mergeCells>
  <conditionalFormatting sqref="E55:K68">
    <cfRule type="colorScale" priority="7">
      <colorScale>
        <cfvo type="min"/>
        <cfvo type="max"/>
        <color theme="8" tint="-0.249977111117893"/>
        <color theme="8" tint="0.59999389629810485"/>
      </colorScale>
    </cfRule>
  </conditionalFormatting>
  <conditionalFormatting sqref="E74:K84">
    <cfRule type="colorScale" priority="5">
      <colorScale>
        <cfvo type="min"/>
        <cfvo type="percentile" val="50"/>
        <cfvo type="max"/>
        <color rgb="FFF8696B"/>
        <color rgb="FFFFEB84"/>
        <color rgb="FF63BE7B"/>
      </colorScale>
    </cfRule>
  </conditionalFormatting>
  <conditionalFormatting sqref="E92:K102">
    <cfRule type="colorScale" priority="4">
      <colorScale>
        <cfvo type="min"/>
        <cfvo type="percentile" val="50"/>
        <cfvo type="max"/>
        <color rgb="FFF8696B"/>
        <color rgb="FFFFEB84"/>
        <color rgb="FF63BE7B"/>
      </colorScale>
    </cfRule>
  </conditionalFormatting>
  <conditionalFormatting sqref="E108:K114">
    <cfRule type="colorScale" priority="20">
      <colorScale>
        <cfvo type="min"/>
        <cfvo type="percentile" val="50"/>
        <cfvo type="max"/>
        <color rgb="FFF8696B"/>
        <color rgb="FFFFEB84"/>
        <color rgb="FF63BE7B"/>
      </colorScale>
    </cfRule>
  </conditionalFormatting>
  <conditionalFormatting sqref="E118:K128">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07F48-685D-45A0-8419-94212B30A1B9}">
  <dimension ref="C1:L38"/>
  <sheetViews>
    <sheetView showGridLines="0" topLeftCell="A16" zoomScale="71" zoomScaleNormal="71" workbookViewId="0">
      <selection activeCell="L2" sqref="L2"/>
    </sheetView>
  </sheetViews>
  <sheetFormatPr baseColWidth="10" defaultColWidth="11.5703125" defaultRowHeight="16.5"/>
  <cols>
    <col min="1" max="1" width="11.5703125" style="1"/>
    <col min="2" max="2" width="11.42578125" style="1" customWidth="1"/>
    <col min="3" max="3" width="15.85546875" style="1" customWidth="1"/>
    <col min="4" max="4" width="16.7109375" style="1" bestFit="1" customWidth="1"/>
    <col min="5" max="5" width="18" style="1" bestFit="1" customWidth="1"/>
    <col min="6" max="6" width="16.7109375" style="1" bestFit="1" customWidth="1"/>
    <col min="7" max="7" width="18" style="1" bestFit="1" customWidth="1"/>
    <col min="8" max="8" width="15.140625" style="1" bestFit="1" customWidth="1"/>
    <col min="9" max="9" width="15.7109375" style="1" bestFit="1" customWidth="1"/>
    <col min="10" max="10" width="15.140625" style="1" bestFit="1" customWidth="1"/>
    <col min="11" max="11" width="16.7109375" style="1" bestFit="1" customWidth="1"/>
    <col min="12" max="12" width="21" style="1" bestFit="1" customWidth="1"/>
    <col min="13" max="16384" width="11.5703125" style="1"/>
  </cols>
  <sheetData>
    <row r="1" spans="3:12">
      <c r="C1" s="41"/>
      <c r="D1" s="41"/>
      <c r="E1" s="41"/>
      <c r="F1" s="41"/>
      <c r="G1" s="41"/>
      <c r="H1" s="41"/>
      <c r="I1" s="41"/>
      <c r="J1" s="41"/>
      <c r="K1" s="41"/>
      <c r="L1" s="41"/>
    </row>
    <row r="2" spans="3:12">
      <c r="C2" s="55" t="s">
        <v>72</v>
      </c>
      <c r="D2" s="55" t="s">
        <v>62</v>
      </c>
      <c r="E2" s="55" t="s">
        <v>63</v>
      </c>
      <c r="F2" s="54" t="s">
        <v>87</v>
      </c>
      <c r="G2" s="55" t="s">
        <v>88</v>
      </c>
      <c r="H2" s="54" t="s">
        <v>89</v>
      </c>
      <c r="I2" s="55" t="s">
        <v>90</v>
      </c>
      <c r="J2" s="54" t="s">
        <v>91</v>
      </c>
      <c r="K2" s="54" t="s">
        <v>92</v>
      </c>
      <c r="L2" s="54" t="s">
        <v>70</v>
      </c>
    </row>
    <row r="3" spans="3:12">
      <c r="C3" s="41">
        <v>1</v>
      </c>
      <c r="D3" s="103">
        <f>C3*P.E!$D$19</f>
        <v>651786.79403105774</v>
      </c>
      <c r="E3" s="103">
        <f>C3*P.E!$D$13</f>
        <v>81442.737414141418</v>
      </c>
      <c r="F3" s="110">
        <f>D3-E3</f>
        <v>570344.05661691632</v>
      </c>
      <c r="G3" s="103">
        <f>P.E!$D$43</f>
        <v>8484246.666666666</v>
      </c>
      <c r="H3" s="110">
        <f>F3-G3</f>
        <v>-7913902.6100497497</v>
      </c>
      <c r="I3" s="50">
        <f>D3*P.E!$B$32</f>
        <v>71696.547343416358</v>
      </c>
      <c r="J3" s="110">
        <f>H3-I3</f>
        <v>-7985599.1573931659</v>
      </c>
      <c r="K3" s="50">
        <f>E3+G3+I3</f>
        <v>8637385.9514242243</v>
      </c>
      <c r="L3" s="111">
        <f>J3/D3</f>
        <v>-12.251857862914374</v>
      </c>
    </row>
    <row r="4" spans="3:12">
      <c r="C4" s="41">
        <v>2</v>
      </c>
      <c r="D4" s="103">
        <f>C4*P.E!$D$19</f>
        <v>1303573.5880621155</v>
      </c>
      <c r="E4" s="103">
        <f>C4*P.E!$D$13</f>
        <v>162885.47482828284</v>
      </c>
      <c r="F4" s="110">
        <f t="shared" ref="F4:F38" si="0">D4-E4</f>
        <v>1140688.1132338326</v>
      </c>
      <c r="G4" s="103">
        <f>P.E!$D$43</f>
        <v>8484246.666666666</v>
      </c>
      <c r="H4" s="110">
        <f t="shared" ref="H4:H38" si="1">F4-G4</f>
        <v>-7343558.5534328334</v>
      </c>
      <c r="I4" s="50">
        <f>D4*P.E!$B$32</f>
        <v>143393.09468683272</v>
      </c>
      <c r="J4" s="110">
        <f t="shared" ref="J4:J38" si="2">H4-I4</f>
        <v>-7486951.6481196657</v>
      </c>
      <c r="K4" s="50">
        <f t="shared" ref="K4:K38" si="3">E4+G4+I4</f>
        <v>8790525.2361817807</v>
      </c>
      <c r="L4" s="111">
        <f t="shared" ref="L4:L38" si="4">J4/D4</f>
        <v>-5.7434054484409449</v>
      </c>
    </row>
    <row r="5" spans="3:12">
      <c r="C5" s="41">
        <v>3</v>
      </c>
      <c r="D5" s="103">
        <f>C5*P.E!$D$19</f>
        <v>1955360.3820931732</v>
      </c>
      <c r="E5" s="103">
        <f>C5*P.E!$D$13</f>
        <v>244328.21224242426</v>
      </c>
      <c r="F5" s="110">
        <f t="shared" si="0"/>
        <v>1711032.169850749</v>
      </c>
      <c r="G5" s="103">
        <f>P.E!$D$43</f>
        <v>8484246.666666666</v>
      </c>
      <c r="H5" s="110">
        <f t="shared" si="1"/>
        <v>-6773214.4968159171</v>
      </c>
      <c r="I5" s="50">
        <f>D5*P.E!$B$32</f>
        <v>215089.64203024906</v>
      </c>
      <c r="J5" s="110">
        <f t="shared" si="2"/>
        <v>-6988304.1388461664</v>
      </c>
      <c r="K5" s="50">
        <f t="shared" si="3"/>
        <v>8943664.520939339</v>
      </c>
      <c r="L5" s="111">
        <f t="shared" si="4"/>
        <v>-3.5739213102831355</v>
      </c>
    </row>
    <row r="6" spans="3:12">
      <c r="C6" s="41">
        <v>4</v>
      </c>
      <c r="D6" s="103">
        <f>C6*P.E!$D$19</f>
        <v>2607147.176124231</v>
      </c>
      <c r="E6" s="103">
        <f>C6*P.E!$D$13</f>
        <v>325770.94965656567</v>
      </c>
      <c r="F6" s="110">
        <f t="shared" si="0"/>
        <v>2281376.2264676653</v>
      </c>
      <c r="G6" s="103">
        <f>P.E!$D$43</f>
        <v>8484246.666666666</v>
      </c>
      <c r="H6" s="110">
        <f t="shared" si="1"/>
        <v>-6202870.4401990008</v>
      </c>
      <c r="I6" s="50">
        <f>D6*P.E!$B$32</f>
        <v>286786.18937366543</v>
      </c>
      <c r="J6" s="110">
        <f t="shared" si="2"/>
        <v>-6489656.6295726663</v>
      </c>
      <c r="K6" s="50">
        <f t="shared" si="3"/>
        <v>9096803.8056968972</v>
      </c>
      <c r="L6" s="111">
        <f t="shared" si="4"/>
        <v>-2.4891792412042308</v>
      </c>
    </row>
    <row r="7" spans="3:12">
      <c r="C7" s="41">
        <v>5</v>
      </c>
      <c r="D7" s="103">
        <f>C7*P.E!$D$19</f>
        <v>3258933.9701552885</v>
      </c>
      <c r="E7" s="103">
        <f>C7*P.E!$D$13</f>
        <v>407213.68707070709</v>
      </c>
      <c r="F7" s="110">
        <f t="shared" si="0"/>
        <v>2851720.2830845816</v>
      </c>
      <c r="G7" s="103">
        <f>P.E!$D$43</f>
        <v>8484246.666666666</v>
      </c>
      <c r="H7" s="110">
        <f t="shared" si="1"/>
        <v>-5632526.3835820844</v>
      </c>
      <c r="I7" s="50">
        <f>D7*P.E!$B$32</f>
        <v>358482.73671708175</v>
      </c>
      <c r="J7" s="110">
        <f t="shared" si="2"/>
        <v>-5991009.1202991661</v>
      </c>
      <c r="K7" s="50">
        <f t="shared" si="3"/>
        <v>9249943.0904544555</v>
      </c>
      <c r="L7" s="111">
        <f t="shared" si="4"/>
        <v>-1.8383339997568879</v>
      </c>
    </row>
    <row r="8" spans="3:12">
      <c r="C8" s="41">
        <v>6</v>
      </c>
      <c r="D8" s="103">
        <f>C8*P.E!$D$19</f>
        <v>3910720.7641863464</v>
      </c>
      <c r="E8" s="103">
        <f>C8*P.E!$D$13</f>
        <v>488656.42448484851</v>
      </c>
      <c r="F8" s="110">
        <f t="shared" si="0"/>
        <v>3422064.3397014979</v>
      </c>
      <c r="G8" s="103">
        <f>P.E!$D$43</f>
        <v>8484246.666666666</v>
      </c>
      <c r="H8" s="110">
        <f t="shared" si="1"/>
        <v>-5062182.3269651681</v>
      </c>
      <c r="I8" s="50">
        <f>D8*P.E!$B$32</f>
        <v>430179.28406049812</v>
      </c>
      <c r="J8" s="110">
        <f t="shared" si="2"/>
        <v>-5492361.6110256659</v>
      </c>
      <c r="K8" s="50">
        <f t="shared" si="3"/>
        <v>9403082.3752120137</v>
      </c>
      <c r="L8" s="111">
        <f t="shared" si="4"/>
        <v>-1.4044371721253259</v>
      </c>
    </row>
    <row r="9" spans="3:12">
      <c r="C9" s="41">
        <v>7</v>
      </c>
      <c r="D9" s="103">
        <f>C9*P.E!$D$19</f>
        <v>4562507.5582174044</v>
      </c>
      <c r="E9" s="103">
        <f>C9*P.E!$D$13</f>
        <v>570099.16189898993</v>
      </c>
      <c r="F9" s="110">
        <f t="shared" si="0"/>
        <v>3992408.3963184142</v>
      </c>
      <c r="G9" s="103">
        <f>P.E!$D$43</f>
        <v>8484246.666666666</v>
      </c>
      <c r="H9" s="110">
        <f t="shared" si="1"/>
        <v>-4491838.2703482518</v>
      </c>
      <c r="I9" s="50">
        <f>D9*P.E!$B$32</f>
        <v>501875.83140391449</v>
      </c>
      <c r="J9" s="110">
        <f t="shared" si="2"/>
        <v>-4993714.1017521666</v>
      </c>
      <c r="K9" s="50">
        <f t="shared" si="3"/>
        <v>9556221.6599695701</v>
      </c>
      <c r="L9" s="111">
        <f t="shared" si="4"/>
        <v>-1.0945108666742103</v>
      </c>
    </row>
    <row r="10" spans="3:12">
      <c r="C10" s="41">
        <v>8</v>
      </c>
      <c r="D10" s="103">
        <f>C10*P.E!$D$19</f>
        <v>5214294.3522484619</v>
      </c>
      <c r="E10" s="103">
        <f>C10*P.E!$D$13</f>
        <v>651541.89931313135</v>
      </c>
      <c r="F10" s="110">
        <f t="shared" si="0"/>
        <v>4562752.4529353306</v>
      </c>
      <c r="G10" s="103">
        <f>P.E!$D$43</f>
        <v>8484246.666666666</v>
      </c>
      <c r="H10" s="110">
        <f t="shared" si="1"/>
        <v>-3921494.2137313355</v>
      </c>
      <c r="I10" s="50">
        <f>D10*P.E!$B$32</f>
        <v>573572.37874733086</v>
      </c>
      <c r="J10" s="110">
        <f t="shared" si="2"/>
        <v>-4495066.5924786665</v>
      </c>
      <c r="K10" s="50">
        <f t="shared" si="3"/>
        <v>9709360.9447271284</v>
      </c>
      <c r="L10" s="111">
        <f t="shared" si="4"/>
        <v>-0.86206613758587369</v>
      </c>
    </row>
    <row r="11" spans="3:12">
      <c r="C11" s="41">
        <v>9</v>
      </c>
      <c r="D11" s="103">
        <f>C11*P.E!$D$19</f>
        <v>5866081.1462795194</v>
      </c>
      <c r="E11" s="103">
        <f>C11*P.E!$D$13</f>
        <v>732984.63672727277</v>
      </c>
      <c r="F11" s="110">
        <f t="shared" si="0"/>
        <v>5133096.5095522469</v>
      </c>
      <c r="G11" s="103">
        <f>P.E!$D$43</f>
        <v>8484246.666666666</v>
      </c>
      <c r="H11" s="110">
        <f t="shared" si="1"/>
        <v>-3351150.1571144192</v>
      </c>
      <c r="I11" s="50">
        <f>D11*P.E!$B$32</f>
        <v>645268.92609074712</v>
      </c>
      <c r="J11" s="110">
        <f t="shared" si="2"/>
        <v>-3996419.0832051663</v>
      </c>
      <c r="K11" s="50">
        <f t="shared" si="3"/>
        <v>9862500.2294846866</v>
      </c>
      <c r="L11" s="111">
        <f t="shared" si="4"/>
        <v>-0.68127579273938954</v>
      </c>
    </row>
    <row r="12" spans="3:12">
      <c r="C12" s="41">
        <v>10</v>
      </c>
      <c r="D12" s="103">
        <f>C12*P.E!$D$19</f>
        <v>6517867.9403105769</v>
      </c>
      <c r="E12" s="103">
        <f>C12*P.E!$D$13</f>
        <v>814427.37414141418</v>
      </c>
      <c r="F12" s="110">
        <f t="shared" si="0"/>
        <v>5703440.5661691632</v>
      </c>
      <c r="G12" s="103">
        <f>P.E!$D$43</f>
        <v>8484246.666666666</v>
      </c>
      <c r="H12" s="110">
        <f t="shared" si="1"/>
        <v>-2780806.1004975028</v>
      </c>
      <c r="I12" s="50">
        <f>D12*P.E!$B$32</f>
        <v>716965.47343416349</v>
      </c>
      <c r="J12" s="110">
        <f t="shared" si="2"/>
        <v>-3497771.5739316661</v>
      </c>
      <c r="K12" s="50">
        <f t="shared" si="3"/>
        <v>10015639.514242243</v>
      </c>
      <c r="L12" s="111">
        <f t="shared" si="4"/>
        <v>-0.53664351686220213</v>
      </c>
    </row>
    <row r="13" spans="3:12">
      <c r="C13" s="41">
        <v>11</v>
      </c>
      <c r="D13" s="103">
        <f>C13*P.E!$D$19</f>
        <v>7169654.7343416354</v>
      </c>
      <c r="E13" s="103">
        <f>C13*P.E!$D$13</f>
        <v>895870.1115555556</v>
      </c>
      <c r="F13" s="110">
        <f t="shared" si="0"/>
        <v>6273784.6227860795</v>
      </c>
      <c r="G13" s="103">
        <f>P.E!$D$43</f>
        <v>8484246.666666666</v>
      </c>
      <c r="H13" s="110">
        <f t="shared" si="1"/>
        <v>-2210462.0438805865</v>
      </c>
      <c r="I13" s="50">
        <f>D13*P.E!$B$32</f>
        <v>788662.02077757986</v>
      </c>
      <c r="J13" s="110">
        <f t="shared" si="2"/>
        <v>-2999124.0646581664</v>
      </c>
      <c r="K13" s="50">
        <f t="shared" si="3"/>
        <v>10168778.798999801</v>
      </c>
      <c r="L13" s="111">
        <f t="shared" si="4"/>
        <v>-0.41830801841723075</v>
      </c>
    </row>
    <row r="14" spans="3:12">
      <c r="C14" s="41">
        <v>12</v>
      </c>
      <c r="D14" s="103">
        <f>C14*P.E!$D$19</f>
        <v>7821441.5283726929</v>
      </c>
      <c r="E14" s="103">
        <f>C14*P.E!$D$13</f>
        <v>977312.84896969702</v>
      </c>
      <c r="F14" s="110">
        <f t="shared" si="0"/>
        <v>6844128.6794029959</v>
      </c>
      <c r="G14" s="103">
        <f>P.E!$D$43</f>
        <v>8484246.666666666</v>
      </c>
      <c r="H14" s="110">
        <f t="shared" si="1"/>
        <v>-1640117.9872636702</v>
      </c>
      <c r="I14" s="50">
        <f>D14*P.E!$B$32</f>
        <v>860358.56812099623</v>
      </c>
      <c r="J14" s="110">
        <f t="shared" si="2"/>
        <v>-2500476.5553846667</v>
      </c>
      <c r="K14" s="50">
        <f t="shared" si="3"/>
        <v>10321918.083757358</v>
      </c>
      <c r="L14" s="111">
        <f t="shared" si="4"/>
        <v>-0.31969510304642124</v>
      </c>
    </row>
    <row r="15" spans="3:12">
      <c r="C15" s="41">
        <v>13</v>
      </c>
      <c r="D15" s="103">
        <f>C15*P.E!$D$19</f>
        <v>8473228.3224037513</v>
      </c>
      <c r="E15" s="103">
        <f>C15*P.E!$D$13</f>
        <v>1058755.5863838384</v>
      </c>
      <c r="F15" s="110">
        <f t="shared" si="0"/>
        <v>7414472.7360199131</v>
      </c>
      <c r="G15" s="103">
        <f>P.E!$D$43</f>
        <v>8484246.666666666</v>
      </c>
      <c r="H15" s="110">
        <f t="shared" si="1"/>
        <v>-1069773.9306467529</v>
      </c>
      <c r="I15" s="50">
        <f>D15*P.E!$B$32</f>
        <v>932055.11546441261</v>
      </c>
      <c r="J15" s="110">
        <f t="shared" si="2"/>
        <v>-2001829.0461111655</v>
      </c>
      <c r="K15" s="50">
        <f t="shared" si="3"/>
        <v>10475057.368514918</v>
      </c>
      <c r="L15" s="111">
        <f t="shared" si="4"/>
        <v>-0.23625340542496689</v>
      </c>
    </row>
    <row r="16" spans="3:12">
      <c r="C16" s="41">
        <v>14</v>
      </c>
      <c r="D16" s="103">
        <f>C16*P.E!$D$19</f>
        <v>9125015.1164348088</v>
      </c>
      <c r="E16" s="103">
        <f>C16*P.E!$D$13</f>
        <v>1140198.3237979799</v>
      </c>
      <c r="F16" s="110">
        <f t="shared" si="0"/>
        <v>7984816.7926368285</v>
      </c>
      <c r="G16" s="103">
        <f>P.E!$D$43</f>
        <v>8484246.666666666</v>
      </c>
      <c r="H16" s="110">
        <f t="shared" si="1"/>
        <v>-499429.87402983755</v>
      </c>
      <c r="I16" s="50">
        <f>D16*P.E!$B$32</f>
        <v>1003751.662807829</v>
      </c>
      <c r="J16" s="110">
        <f t="shared" si="2"/>
        <v>-1503181.5368376665</v>
      </c>
      <c r="K16" s="50">
        <f t="shared" si="3"/>
        <v>10628196.653272476</v>
      </c>
      <c r="L16" s="111">
        <f t="shared" si="4"/>
        <v>-0.16473195032086341</v>
      </c>
    </row>
    <row r="17" spans="3:12">
      <c r="C17" s="41">
        <v>15</v>
      </c>
      <c r="D17" s="103">
        <f>C17*P.E!$D$19</f>
        <v>9776801.9104658663</v>
      </c>
      <c r="E17" s="103">
        <f>C17*P.E!$D$13</f>
        <v>1221641.0612121213</v>
      </c>
      <c r="F17" s="110">
        <f t="shared" si="0"/>
        <v>8555160.8492537457</v>
      </c>
      <c r="G17" s="103">
        <f>P.E!$D$43</f>
        <v>8484246.666666666</v>
      </c>
      <c r="H17" s="110">
        <f t="shared" si="1"/>
        <v>70914.182587079704</v>
      </c>
      <c r="I17" s="50">
        <f>D17*P.E!$B$32</f>
        <v>1075448.2101512454</v>
      </c>
      <c r="J17" s="110">
        <f t="shared" si="2"/>
        <v>-1004534.0275641656</v>
      </c>
      <c r="K17" s="50">
        <f t="shared" si="3"/>
        <v>10781335.938030032</v>
      </c>
      <c r="L17" s="111">
        <f t="shared" si="4"/>
        <v>-0.10274668923064019</v>
      </c>
    </row>
    <row r="18" spans="3:12">
      <c r="C18" s="41">
        <v>16</v>
      </c>
      <c r="D18" s="103">
        <f>C18*P.E!$D$19</f>
        <v>10428588.704496924</v>
      </c>
      <c r="E18" s="103">
        <f>C18*P.E!$D$13</f>
        <v>1303083.7986262627</v>
      </c>
      <c r="F18" s="110">
        <f t="shared" si="0"/>
        <v>9125504.9058706611</v>
      </c>
      <c r="G18" s="103">
        <f>P.E!$D$43</f>
        <v>8484246.666666666</v>
      </c>
      <c r="H18" s="110">
        <f t="shared" si="1"/>
        <v>641258.23920399509</v>
      </c>
      <c r="I18" s="50">
        <f>D18*P.E!$B$32</f>
        <v>1147144.7574946617</v>
      </c>
      <c r="J18" s="110">
        <f t="shared" si="2"/>
        <v>-505886.51829066663</v>
      </c>
      <c r="K18" s="50">
        <f t="shared" si="3"/>
        <v>10934475.222787591</v>
      </c>
      <c r="L18" s="111">
        <f t="shared" si="4"/>
        <v>-4.8509585776695049E-2</v>
      </c>
    </row>
    <row r="19" spans="3:12">
      <c r="C19" s="113">
        <v>17</v>
      </c>
      <c r="D19" s="114">
        <f>C19*P.E!$D$19</f>
        <v>11080375.498527981</v>
      </c>
      <c r="E19" s="114">
        <f>C19*P.E!$D$13</f>
        <v>1384526.5360404041</v>
      </c>
      <c r="F19" s="115">
        <f t="shared" si="0"/>
        <v>9695848.9624875765</v>
      </c>
      <c r="G19" s="114">
        <f>P.E!$D$43</f>
        <v>8484246.666666666</v>
      </c>
      <c r="H19" s="115">
        <f t="shared" si="1"/>
        <v>1211602.2958209105</v>
      </c>
      <c r="I19" s="115">
        <f>D19*P.E!$B$32</f>
        <v>1218841.3048380779</v>
      </c>
      <c r="J19" s="115">
        <f t="shared" si="2"/>
        <v>-7239.0090171673801</v>
      </c>
      <c r="K19" s="115">
        <f t="shared" si="3"/>
        <v>11087614.507545149</v>
      </c>
      <c r="L19" s="116">
        <f t="shared" si="4"/>
        <v>-6.5331802321402159E-4</v>
      </c>
    </row>
    <row r="20" spans="3:12">
      <c r="C20" s="41">
        <v>18</v>
      </c>
      <c r="D20" s="103">
        <f>C20*P.E!$D$19</f>
        <v>11732162.292559039</v>
      </c>
      <c r="E20" s="103">
        <f>C20*P.E!$D$13</f>
        <v>1465969.2734545455</v>
      </c>
      <c r="F20" s="110">
        <f t="shared" si="0"/>
        <v>10266193.019104494</v>
      </c>
      <c r="G20" s="103">
        <f>P.E!$D$43</f>
        <v>8484246.666666666</v>
      </c>
      <c r="H20" s="110">
        <f t="shared" si="1"/>
        <v>1781946.3524378277</v>
      </c>
      <c r="I20" s="50">
        <f>D20*P.E!$B$32</f>
        <v>1290537.8521814942</v>
      </c>
      <c r="J20" s="110">
        <f t="shared" si="2"/>
        <v>491408.5002563335</v>
      </c>
      <c r="K20" s="50">
        <f t="shared" si="3"/>
        <v>11240753.792302705</v>
      </c>
      <c r="L20" s="111">
        <f t="shared" si="4"/>
        <v>4.1885586646547034E-2</v>
      </c>
    </row>
    <row r="21" spans="3:12">
      <c r="C21" s="41">
        <v>19</v>
      </c>
      <c r="D21" s="103">
        <f>C21*P.E!$D$19</f>
        <v>12383949.086590096</v>
      </c>
      <c r="E21" s="103">
        <f>C21*P.E!$D$13</f>
        <v>1547412.0108686869</v>
      </c>
      <c r="F21" s="110">
        <f t="shared" si="0"/>
        <v>10836537.075721409</v>
      </c>
      <c r="G21" s="103">
        <f>P.E!$D$43</f>
        <v>8484246.666666666</v>
      </c>
      <c r="H21" s="110">
        <f t="shared" si="1"/>
        <v>2352290.4090547431</v>
      </c>
      <c r="I21" s="50">
        <f>D21*P.E!$B$32</f>
        <v>1362234.3995249106</v>
      </c>
      <c r="J21" s="110">
        <f t="shared" si="2"/>
        <v>990056.00952983252</v>
      </c>
      <c r="K21" s="50">
        <f t="shared" si="3"/>
        <v>11393893.077060264</v>
      </c>
      <c r="L21" s="111">
        <f t="shared" si="4"/>
        <v>7.9946711877385723E-2</v>
      </c>
    </row>
    <row r="22" spans="3:12">
      <c r="C22" s="41">
        <v>20</v>
      </c>
      <c r="D22" s="103">
        <f>C22*P.E!$D$19</f>
        <v>13035735.880621154</v>
      </c>
      <c r="E22" s="103">
        <f>C22*P.E!$D$13</f>
        <v>1628854.7482828284</v>
      </c>
      <c r="F22" s="110">
        <f t="shared" si="0"/>
        <v>11406881.132338326</v>
      </c>
      <c r="G22" s="103">
        <f>P.E!$D$43</f>
        <v>8484246.666666666</v>
      </c>
      <c r="H22" s="110">
        <f t="shared" si="1"/>
        <v>2922634.4656716604</v>
      </c>
      <c r="I22" s="50">
        <f>D22*P.E!$B$32</f>
        <v>1433930.946868327</v>
      </c>
      <c r="J22" s="110">
        <f t="shared" si="2"/>
        <v>1488703.5188033334</v>
      </c>
      <c r="K22" s="50">
        <f t="shared" si="3"/>
        <v>11547032.361817822</v>
      </c>
      <c r="L22" s="111">
        <f t="shared" si="4"/>
        <v>0.11420172458514069</v>
      </c>
    </row>
    <row r="23" spans="3:12">
      <c r="C23" s="41">
        <v>21</v>
      </c>
      <c r="D23" s="103">
        <f>C23*P.E!$D$19</f>
        <v>13687522.674652213</v>
      </c>
      <c r="E23" s="103">
        <f>C23*P.E!$D$13</f>
        <v>1710297.4856969698</v>
      </c>
      <c r="F23" s="110">
        <f t="shared" si="0"/>
        <v>11977225.188955244</v>
      </c>
      <c r="G23" s="103">
        <f>P.E!$D$43</f>
        <v>8484246.666666666</v>
      </c>
      <c r="H23" s="110">
        <f t="shared" si="1"/>
        <v>3492978.5222885776</v>
      </c>
      <c r="I23" s="50">
        <f>D23*P.E!$B$32</f>
        <v>1505627.4942117434</v>
      </c>
      <c r="J23" s="110">
        <f t="shared" si="2"/>
        <v>1987351.0280768343</v>
      </c>
      <c r="K23" s="50">
        <f t="shared" si="3"/>
        <v>11700171.646575378</v>
      </c>
      <c r="L23" s="111">
        <f t="shared" si="4"/>
        <v>0.14519435513025231</v>
      </c>
    </row>
    <row r="24" spans="3:12">
      <c r="C24" s="41">
        <v>22</v>
      </c>
      <c r="D24" s="103">
        <f>C24*P.E!$D$19</f>
        <v>14339309.468683271</v>
      </c>
      <c r="E24" s="103">
        <f>C24*P.E!$D$13</f>
        <v>1791740.2231111112</v>
      </c>
      <c r="F24" s="110">
        <f t="shared" si="0"/>
        <v>12547569.245572159</v>
      </c>
      <c r="G24" s="103">
        <f>P.E!$D$43</f>
        <v>8484246.666666666</v>
      </c>
      <c r="H24" s="110">
        <f t="shared" si="1"/>
        <v>4063322.578905493</v>
      </c>
      <c r="I24" s="50">
        <f>D24*P.E!$B$32</f>
        <v>1577324.0415551597</v>
      </c>
      <c r="J24" s="110">
        <f t="shared" si="2"/>
        <v>2485998.5373503333</v>
      </c>
      <c r="K24" s="50">
        <f t="shared" si="3"/>
        <v>11853310.931332938</v>
      </c>
      <c r="L24" s="111">
        <f t="shared" si="4"/>
        <v>0.17336947380762638</v>
      </c>
    </row>
    <row r="25" spans="3:12">
      <c r="C25" s="113">
        <v>23</v>
      </c>
      <c r="D25" s="114">
        <f>C25*P.E!$D$19</f>
        <v>14991096.262714328</v>
      </c>
      <c r="E25" s="114">
        <f>C25*P.E!$D$13</f>
        <v>1873182.9605252526</v>
      </c>
      <c r="F25" s="115">
        <f t="shared" si="0"/>
        <v>13117913.302189076</v>
      </c>
      <c r="G25" s="114">
        <f>P.E!$D$43</f>
        <v>8484246.666666666</v>
      </c>
      <c r="H25" s="115">
        <f t="shared" si="1"/>
        <v>4633666.6355224103</v>
      </c>
      <c r="I25" s="115">
        <f>D25*P.E!$B$32</f>
        <v>1649020.5888985761</v>
      </c>
      <c r="J25" s="115">
        <f t="shared" si="2"/>
        <v>2984646.0466238344</v>
      </c>
      <c r="K25" s="115">
        <f t="shared" si="3"/>
        <v>12006450.216090495</v>
      </c>
      <c r="L25" s="116">
        <f t="shared" si="4"/>
        <v>0.19909458216522893</v>
      </c>
    </row>
    <row r="26" spans="3:12">
      <c r="C26" s="41">
        <v>24</v>
      </c>
      <c r="D26" s="103">
        <f>C26*P.E!$D$19</f>
        <v>15642883.056745386</v>
      </c>
      <c r="E26" s="103">
        <f>C26*P.E!$D$13</f>
        <v>1954625.697939394</v>
      </c>
      <c r="F26" s="110">
        <f t="shared" si="0"/>
        <v>13688257.358805992</v>
      </c>
      <c r="G26" s="103">
        <f>P.E!$D$43</f>
        <v>8484246.666666666</v>
      </c>
      <c r="H26" s="110">
        <f t="shared" si="1"/>
        <v>5204010.6921393257</v>
      </c>
      <c r="I26" s="50">
        <f>D26*P.E!$B$32</f>
        <v>1720717.1362419925</v>
      </c>
      <c r="J26" s="110">
        <f t="shared" si="2"/>
        <v>3483293.5558973332</v>
      </c>
      <c r="K26" s="50">
        <f t="shared" si="3"/>
        <v>12159589.500848053</v>
      </c>
      <c r="L26" s="111">
        <f t="shared" si="4"/>
        <v>0.22267593149303114</v>
      </c>
    </row>
    <row r="27" spans="3:12">
      <c r="C27" s="41">
        <v>25</v>
      </c>
      <c r="D27" s="103">
        <f>C27*P.E!$D$19</f>
        <v>16294669.850776443</v>
      </c>
      <c r="E27" s="103">
        <f>C27*P.E!$D$13</f>
        <v>2036068.4353535355</v>
      </c>
      <c r="F27" s="110">
        <f t="shared" si="0"/>
        <v>14258601.415422907</v>
      </c>
      <c r="G27" s="103">
        <f>P.E!$D$43</f>
        <v>8484246.666666666</v>
      </c>
      <c r="H27" s="110">
        <f t="shared" si="1"/>
        <v>5774354.7487562411</v>
      </c>
      <c r="I27" s="50">
        <f>D27*P.E!$B$32</f>
        <v>1792413.6835854088</v>
      </c>
      <c r="J27" s="110">
        <f t="shared" si="2"/>
        <v>3981941.065170832</v>
      </c>
      <c r="K27" s="50">
        <f t="shared" si="3"/>
        <v>12312728.785605611</v>
      </c>
      <c r="L27" s="111">
        <f t="shared" si="4"/>
        <v>0.24437077287460918</v>
      </c>
    </row>
    <row r="28" spans="3:12">
      <c r="C28" s="41">
        <v>26</v>
      </c>
      <c r="D28" s="103">
        <f>C28*P.E!$D$19</f>
        <v>16946456.644807503</v>
      </c>
      <c r="E28" s="103">
        <f>C28*P.E!$D$13</f>
        <v>2117511.1727676769</v>
      </c>
      <c r="F28" s="110">
        <f t="shared" si="0"/>
        <v>14828945.472039826</v>
      </c>
      <c r="G28" s="103">
        <f>P.E!$D$43</f>
        <v>8484246.666666666</v>
      </c>
      <c r="H28" s="110">
        <f t="shared" si="1"/>
        <v>6344698.8053731602</v>
      </c>
      <c r="I28" s="50">
        <f>D28*P.E!$B$32</f>
        <v>1864110.2309288252</v>
      </c>
      <c r="J28" s="110">
        <f t="shared" si="2"/>
        <v>4480588.574444335</v>
      </c>
      <c r="K28" s="50">
        <f t="shared" si="3"/>
        <v>12465868.070363168</v>
      </c>
      <c r="L28" s="111">
        <f t="shared" si="4"/>
        <v>0.26439678030375835</v>
      </c>
    </row>
    <row r="29" spans="3:12">
      <c r="C29" s="41">
        <v>27</v>
      </c>
      <c r="D29" s="103">
        <f>C29*P.E!$D$19</f>
        <v>17598243.43883856</v>
      </c>
      <c r="E29" s="103">
        <f>C29*P.E!$D$13</f>
        <v>2198953.9101818185</v>
      </c>
      <c r="F29" s="110">
        <f t="shared" si="0"/>
        <v>15399289.528656742</v>
      </c>
      <c r="G29" s="103">
        <f>P.E!$D$43</f>
        <v>8484246.666666666</v>
      </c>
      <c r="H29" s="110">
        <f t="shared" si="1"/>
        <v>6915042.8619900756</v>
      </c>
      <c r="I29" s="50">
        <f>D29*P.E!$B$32</f>
        <v>1935806.7782722416</v>
      </c>
      <c r="J29" s="110">
        <f t="shared" si="2"/>
        <v>4979236.0837178342</v>
      </c>
      <c r="K29" s="50">
        <f t="shared" si="3"/>
        <v>12619007.355120726</v>
      </c>
      <c r="L29" s="111">
        <f t="shared" si="4"/>
        <v>0.28293937977519257</v>
      </c>
    </row>
    <row r="30" spans="3:12">
      <c r="C30" s="41">
        <v>28</v>
      </c>
      <c r="D30" s="103">
        <f>C30*P.E!$D$19</f>
        <v>18250030.232869618</v>
      </c>
      <c r="E30" s="103">
        <f>C30*P.E!$D$13</f>
        <v>2280396.6475959597</v>
      </c>
      <c r="F30" s="110">
        <f t="shared" si="0"/>
        <v>15969633.585273657</v>
      </c>
      <c r="G30" s="103">
        <f>P.E!$D$43</f>
        <v>8484246.666666666</v>
      </c>
      <c r="H30" s="110">
        <f t="shared" si="1"/>
        <v>7485386.9186069909</v>
      </c>
      <c r="I30" s="50">
        <f>D30*P.E!$B$32</f>
        <v>2007503.325615658</v>
      </c>
      <c r="J30" s="110">
        <f t="shared" si="2"/>
        <v>5477883.5929913335</v>
      </c>
      <c r="K30" s="50">
        <f t="shared" si="3"/>
        <v>12772146.639878282</v>
      </c>
      <c r="L30" s="111">
        <f t="shared" si="4"/>
        <v>0.30015750785581008</v>
      </c>
    </row>
    <row r="31" spans="3:12">
      <c r="C31" s="41">
        <v>29</v>
      </c>
      <c r="D31" s="103">
        <f>C31*P.E!$D$19</f>
        <v>18901817.026900675</v>
      </c>
      <c r="E31" s="103">
        <f>C31*P.E!$D$13</f>
        <v>2361839.3850101009</v>
      </c>
      <c r="F31" s="110">
        <f t="shared" si="0"/>
        <v>16539977.641890574</v>
      </c>
      <c r="G31" s="103">
        <f>P.E!$D$43</f>
        <v>8484246.666666666</v>
      </c>
      <c r="H31" s="110">
        <f t="shared" si="1"/>
        <v>8055730.9752239082</v>
      </c>
      <c r="I31" s="50">
        <f>D31*P.E!$B$32</f>
        <v>2079199.8729590743</v>
      </c>
      <c r="J31" s="110">
        <f t="shared" si="2"/>
        <v>5976531.1022648336</v>
      </c>
      <c r="K31" s="50">
        <f t="shared" si="3"/>
        <v>12925285.924635841</v>
      </c>
      <c r="L31" s="111">
        <f t="shared" si="4"/>
        <v>0.31618817882741951</v>
      </c>
    </row>
    <row r="32" spans="3:12">
      <c r="C32" s="41">
        <v>30</v>
      </c>
      <c r="D32" s="103">
        <f>C32*P.E!$D$19</f>
        <v>19553603.820931733</v>
      </c>
      <c r="E32" s="103">
        <f>C32*P.E!$D$13</f>
        <v>2443282.1224242426</v>
      </c>
      <c r="F32" s="110">
        <f t="shared" si="0"/>
        <v>17110321.698507491</v>
      </c>
      <c r="G32" s="103">
        <f>P.E!$D$43</f>
        <v>8484246.666666666</v>
      </c>
      <c r="H32" s="110">
        <f t="shared" si="1"/>
        <v>8626075.0318408255</v>
      </c>
      <c r="I32" s="50">
        <f>D32*P.E!$B$32</f>
        <v>2150896.4203024907</v>
      </c>
      <c r="J32" s="110">
        <f t="shared" si="2"/>
        <v>6475178.6115383347</v>
      </c>
      <c r="K32" s="50">
        <f t="shared" si="3"/>
        <v>13078425.209393401</v>
      </c>
      <c r="L32" s="111">
        <f t="shared" si="4"/>
        <v>0.33115013840092172</v>
      </c>
    </row>
    <row r="33" spans="3:12">
      <c r="C33" s="41">
        <v>31</v>
      </c>
      <c r="D33" s="103">
        <f>C33*P.E!$D$19</f>
        <v>20205390.61496279</v>
      </c>
      <c r="E33" s="103">
        <f>C33*P.E!$D$13</f>
        <v>2524724.8598383842</v>
      </c>
      <c r="F33" s="110">
        <f t="shared" si="0"/>
        <v>17680665.755124405</v>
      </c>
      <c r="G33" s="103">
        <f>P.E!$D$43</f>
        <v>8484246.666666666</v>
      </c>
      <c r="H33" s="110">
        <f t="shared" si="1"/>
        <v>9196419.088457739</v>
      </c>
      <c r="I33" s="50">
        <f>D33*P.E!$B$32</f>
        <v>2222592.9676459068</v>
      </c>
      <c r="J33" s="110">
        <f t="shared" si="2"/>
        <v>6973826.1208118321</v>
      </c>
      <c r="K33" s="50">
        <f t="shared" si="3"/>
        <v>13231564.494150955</v>
      </c>
      <c r="L33" s="111">
        <f t="shared" si="4"/>
        <v>0.34514681026000421</v>
      </c>
    </row>
    <row r="34" spans="3:12">
      <c r="C34" s="41">
        <v>32</v>
      </c>
      <c r="D34" s="103">
        <f>C34*P.E!$D$19</f>
        <v>20857177.408993848</v>
      </c>
      <c r="E34" s="103">
        <f>C34*P.E!$D$13</f>
        <v>2606167.5972525254</v>
      </c>
      <c r="F34" s="110">
        <f t="shared" si="0"/>
        <v>18251009.811741322</v>
      </c>
      <c r="G34" s="103">
        <f>P.E!$D$43</f>
        <v>8484246.666666666</v>
      </c>
      <c r="H34" s="110">
        <f t="shared" si="1"/>
        <v>9766763.1450746562</v>
      </c>
      <c r="I34" s="50">
        <f>D34*P.E!$B$32</f>
        <v>2294289.5149893234</v>
      </c>
      <c r="J34" s="110">
        <f t="shared" si="2"/>
        <v>7472473.6300853323</v>
      </c>
      <c r="K34" s="50">
        <f t="shared" si="3"/>
        <v>13384703.778908515</v>
      </c>
      <c r="L34" s="111">
        <f t="shared" si="4"/>
        <v>0.3582686901278942</v>
      </c>
    </row>
    <row r="35" spans="3:12">
      <c r="C35" s="41">
        <v>33</v>
      </c>
      <c r="D35" s="103">
        <f>C35*P.E!$D$19</f>
        <v>21508964.203024905</v>
      </c>
      <c r="E35" s="103">
        <f>C35*P.E!$D$13</f>
        <v>2687610.3346666666</v>
      </c>
      <c r="F35" s="110">
        <f t="shared" si="0"/>
        <v>18821353.86835824</v>
      </c>
      <c r="G35" s="103">
        <f>P.E!$D$43</f>
        <v>8484246.666666666</v>
      </c>
      <c r="H35" s="110">
        <f t="shared" si="1"/>
        <v>10337107.201691573</v>
      </c>
      <c r="I35" s="50">
        <f>D35*P.E!$B$32</f>
        <v>2365986.0623327396</v>
      </c>
      <c r="J35" s="110">
        <f t="shared" si="2"/>
        <v>7971121.1393588334</v>
      </c>
      <c r="K35" s="50">
        <f t="shared" si="3"/>
        <v>13537843.063666074</v>
      </c>
      <c r="L35" s="111">
        <f t="shared" si="4"/>
        <v>0.37059530454924544</v>
      </c>
    </row>
    <row r="36" spans="3:12">
      <c r="C36" s="41">
        <v>34</v>
      </c>
      <c r="D36" s="103">
        <f>C36*P.E!$D$19</f>
        <v>22160750.997055963</v>
      </c>
      <c r="E36" s="103">
        <f>C36*P.E!$D$13</f>
        <v>2769053.0720808082</v>
      </c>
      <c r="F36" s="110">
        <f t="shared" si="0"/>
        <v>19391697.924975153</v>
      </c>
      <c r="G36" s="103">
        <f>P.E!$D$43</f>
        <v>8484246.666666666</v>
      </c>
      <c r="H36" s="110">
        <f t="shared" si="1"/>
        <v>10907451.258308487</v>
      </c>
      <c r="I36" s="50">
        <f>D36*P.E!$B$32</f>
        <v>2437682.6096761557</v>
      </c>
      <c r="J36" s="110">
        <f t="shared" si="2"/>
        <v>8469768.6486323308</v>
      </c>
      <c r="K36" s="50">
        <f t="shared" si="3"/>
        <v>13690982.34842363</v>
      </c>
      <c r="L36" s="111">
        <f t="shared" si="4"/>
        <v>0.38219682400463473</v>
      </c>
    </row>
    <row r="37" spans="3:12">
      <c r="C37" s="41">
        <v>35</v>
      </c>
      <c r="D37" s="103">
        <f>C37*P.E!$D$19</f>
        <v>22812537.79108702</v>
      </c>
      <c r="E37" s="103">
        <f>C37*P.E!$D$13</f>
        <v>2850495.8094949499</v>
      </c>
      <c r="F37" s="110">
        <f t="shared" si="0"/>
        <v>19962041.98159207</v>
      </c>
      <c r="G37" s="103">
        <f>P.E!$D$43</f>
        <v>8484246.666666666</v>
      </c>
      <c r="H37" s="110">
        <f t="shared" si="1"/>
        <v>11477795.314925404</v>
      </c>
      <c r="I37" s="50">
        <f>D37*P.E!$B$32</f>
        <v>2509379.1570195723</v>
      </c>
      <c r="J37" s="110">
        <f t="shared" si="2"/>
        <v>8968416.1579058319</v>
      </c>
      <c r="K37" s="50">
        <f t="shared" si="3"/>
        <v>13844121.633181188</v>
      </c>
      <c r="L37" s="111">
        <f t="shared" si="4"/>
        <v>0.39313539949114473</v>
      </c>
    </row>
    <row r="38" spans="3:12">
      <c r="C38" s="41">
        <v>36</v>
      </c>
      <c r="D38" s="103">
        <f>C38*P.E!$D$19</f>
        <v>23464324.585118078</v>
      </c>
      <c r="E38" s="103">
        <f>C38*P.E!$D$13</f>
        <v>2931938.5469090911</v>
      </c>
      <c r="F38" s="110">
        <f t="shared" si="0"/>
        <v>20532386.038208988</v>
      </c>
      <c r="G38" s="103">
        <f>P.E!$D$43</f>
        <v>8484246.666666666</v>
      </c>
      <c r="H38" s="110">
        <f t="shared" si="1"/>
        <v>12048139.371542322</v>
      </c>
      <c r="I38" s="50">
        <f>D38*P.E!$B$32</f>
        <v>2581075.7043629885</v>
      </c>
      <c r="J38" s="110">
        <f t="shared" si="2"/>
        <v>9467063.667179333</v>
      </c>
      <c r="K38" s="50">
        <f t="shared" si="3"/>
        <v>13997260.917938747</v>
      </c>
      <c r="L38" s="111">
        <f t="shared" si="4"/>
        <v>0.40346627633951532</v>
      </c>
    </row>
  </sheetData>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F03FF-8509-4E78-A5CE-6923C2C8A13F}">
  <dimension ref="A1:AE181"/>
  <sheetViews>
    <sheetView showGridLines="0" tabSelected="1" zoomScale="89" zoomScaleNormal="89" workbookViewId="0">
      <selection activeCell="C146" sqref="C146"/>
    </sheetView>
  </sheetViews>
  <sheetFormatPr baseColWidth="10" defaultColWidth="11.5703125" defaultRowHeight="16.5"/>
  <cols>
    <col min="1" max="1" width="20.140625" style="41" customWidth="1"/>
    <col min="2" max="2" width="37.85546875" style="41" customWidth="1"/>
    <col min="3" max="3" width="36.7109375" style="41" customWidth="1"/>
    <col min="4" max="4" width="17" style="41" customWidth="1"/>
    <col min="5" max="5" width="16.7109375" style="41" bestFit="1" customWidth="1"/>
    <col min="6" max="6" width="16.42578125" style="41" customWidth="1"/>
    <col min="7" max="11" width="16.7109375" style="41" bestFit="1" customWidth="1"/>
    <col min="12" max="13" width="15.42578125" style="41" customWidth="1"/>
    <col min="14" max="14" width="18.85546875" style="41" customWidth="1"/>
    <col min="15" max="15" width="21.85546875" style="41" customWidth="1"/>
    <col min="16" max="21" width="18.28515625" style="41" bestFit="1" customWidth="1"/>
    <col min="22" max="22" width="19.5703125" style="41" bestFit="1" customWidth="1"/>
    <col min="23" max="23" width="18.28515625" style="41" bestFit="1" customWidth="1"/>
    <col min="24" max="16384" width="11.5703125" style="41"/>
  </cols>
  <sheetData>
    <row r="1" spans="2:23">
      <c r="G1" s="117"/>
      <c r="H1" s="117"/>
    </row>
    <row r="2" spans="2:23">
      <c r="D2" s="54">
        <v>2024</v>
      </c>
      <c r="E2" s="54">
        <v>2025</v>
      </c>
      <c r="F2" s="54">
        <v>2026</v>
      </c>
      <c r="H2" s="117"/>
      <c r="I2" s="117"/>
      <c r="J2" s="117"/>
    </row>
    <row r="3" spans="2:23">
      <c r="C3" s="70" t="s">
        <v>109</v>
      </c>
      <c r="D3" s="55" t="s">
        <v>101</v>
      </c>
      <c r="E3" s="55" t="s">
        <v>102</v>
      </c>
      <c r="F3" s="55" t="s">
        <v>103</v>
      </c>
      <c r="G3" s="117"/>
      <c r="H3" s="117"/>
      <c r="I3" s="117"/>
      <c r="J3" s="117"/>
    </row>
    <row r="4" spans="2:23">
      <c r="C4" s="41" t="s">
        <v>110</v>
      </c>
      <c r="D4" s="118">
        <v>4.8000000000000001E-2</v>
      </c>
      <c r="E4" s="118">
        <v>4.1000000000000002E-2</v>
      </c>
      <c r="F4" s="118">
        <v>3.5000000000000003E-2</v>
      </c>
      <c r="G4" s="117"/>
      <c r="H4" s="117"/>
      <c r="I4" s="117"/>
      <c r="J4" s="117"/>
      <c r="K4" s="119"/>
    </row>
    <row r="5" spans="2:23">
      <c r="G5" s="117"/>
      <c r="H5" s="117"/>
      <c r="I5" s="117"/>
      <c r="J5" s="117"/>
    </row>
    <row r="6" spans="2:23">
      <c r="C6" s="70" t="s">
        <v>81</v>
      </c>
      <c r="D6" s="54" t="s">
        <v>27</v>
      </c>
      <c r="E6" s="54" t="s">
        <v>82</v>
      </c>
    </row>
    <row r="7" spans="2:23">
      <c r="D7" s="65">
        <v>200000</v>
      </c>
      <c r="E7" s="196">
        <v>40</v>
      </c>
      <c r="G7" s="117"/>
      <c r="H7" s="117"/>
      <c r="I7" s="117"/>
      <c r="J7" s="117"/>
    </row>
    <row r="9" spans="2:23">
      <c r="D9" s="267" t="s">
        <v>168</v>
      </c>
      <c r="E9" s="267"/>
      <c r="F9" s="267"/>
      <c r="G9" s="267"/>
      <c r="H9" s="267"/>
      <c r="I9" s="267"/>
      <c r="J9" s="267"/>
      <c r="K9" s="267"/>
      <c r="L9" s="267"/>
      <c r="M9" s="267"/>
      <c r="N9" s="267"/>
      <c r="O9" s="267"/>
    </row>
    <row r="10" spans="2:23">
      <c r="C10" s="70" t="s">
        <v>166</v>
      </c>
      <c r="D10" s="55">
        <v>1</v>
      </c>
      <c r="E10" s="55">
        <v>2</v>
      </c>
      <c r="F10" s="55">
        <v>3</v>
      </c>
      <c r="G10" s="55">
        <v>4</v>
      </c>
      <c r="H10" s="55">
        <v>5</v>
      </c>
      <c r="I10" s="55">
        <v>6</v>
      </c>
      <c r="J10" s="55">
        <v>7</v>
      </c>
      <c r="K10" s="55">
        <v>8</v>
      </c>
      <c r="L10" s="55">
        <v>9</v>
      </c>
      <c r="M10" s="55">
        <v>10</v>
      </c>
      <c r="N10" s="55">
        <v>11</v>
      </c>
      <c r="O10" s="55">
        <v>12</v>
      </c>
      <c r="P10" s="117"/>
      <c r="Q10" s="117"/>
      <c r="R10" s="117"/>
      <c r="S10" s="117"/>
      <c r="T10" s="117"/>
      <c r="U10" s="117"/>
      <c r="V10" s="117"/>
      <c r="W10" s="117"/>
    </row>
    <row r="11" spans="2:23">
      <c r="B11" s="193">
        <v>1</v>
      </c>
      <c r="C11" s="41" t="s">
        <v>105</v>
      </c>
      <c r="E11" s="112">
        <v>-0.02</v>
      </c>
      <c r="F11" s="112">
        <v>-9.5238095238095233E-2</v>
      </c>
      <c r="G11" s="112">
        <v>0.08</v>
      </c>
      <c r="H11" s="112">
        <v>0.02</v>
      </c>
      <c r="I11" s="112">
        <v>0.02</v>
      </c>
      <c r="J11" s="112">
        <v>-9.5238095238095233E-2</v>
      </c>
      <c r="K11" s="112">
        <v>0.08</v>
      </c>
      <c r="L11" s="112">
        <v>0.02</v>
      </c>
      <c r="M11" s="112">
        <v>0.02</v>
      </c>
      <c r="N11" s="112">
        <v>-9.5238095238095233E-2</v>
      </c>
      <c r="O11" s="112">
        <v>0.08</v>
      </c>
      <c r="P11" s="117"/>
      <c r="Q11" s="117"/>
      <c r="R11" s="117"/>
      <c r="S11" s="117"/>
      <c r="T11" s="117"/>
      <c r="U11" s="117"/>
      <c r="V11" s="117"/>
      <c r="W11" s="117"/>
    </row>
    <row r="12" spans="2:23">
      <c r="B12" s="193">
        <v>2</v>
      </c>
      <c r="C12" s="41" t="s">
        <v>106</v>
      </c>
      <c r="E12" s="112">
        <v>0.04</v>
      </c>
      <c r="F12" s="112">
        <v>-0.04</v>
      </c>
      <c r="G12" s="112">
        <v>0.11</v>
      </c>
      <c r="H12" s="112">
        <v>0.04</v>
      </c>
      <c r="I12" s="112">
        <v>5.0000000000000044E-2</v>
      </c>
      <c r="J12" s="112">
        <v>-0.04</v>
      </c>
      <c r="K12" s="112">
        <v>0.11</v>
      </c>
      <c r="L12" s="112">
        <v>0.04</v>
      </c>
      <c r="M12" s="112">
        <v>5.0000000000000044E-2</v>
      </c>
      <c r="N12" s="112">
        <v>-0.04</v>
      </c>
      <c r="O12" s="112">
        <v>0.11</v>
      </c>
      <c r="P12" s="117"/>
      <c r="Q12" s="117"/>
      <c r="R12" s="117"/>
      <c r="S12" s="117"/>
      <c r="T12" s="117"/>
      <c r="U12" s="117"/>
      <c r="V12" s="117"/>
      <c r="W12" s="117"/>
    </row>
    <row r="13" spans="2:23">
      <c r="B13" s="193">
        <v>3</v>
      </c>
      <c r="C13" s="41" t="s">
        <v>107</v>
      </c>
      <c r="E13" s="112">
        <v>0.06</v>
      </c>
      <c r="F13" s="112">
        <v>-0.02</v>
      </c>
      <c r="G13" s="112">
        <v>0.14000000000000001</v>
      </c>
      <c r="H13" s="112">
        <v>0.08</v>
      </c>
      <c r="I13" s="112">
        <v>0.06</v>
      </c>
      <c r="J13" s="112">
        <v>-0.02</v>
      </c>
      <c r="K13" s="112">
        <v>0.14000000000000001</v>
      </c>
      <c r="L13" s="112">
        <v>0.08</v>
      </c>
      <c r="M13" s="112">
        <v>0.06</v>
      </c>
      <c r="N13" s="112">
        <v>-0.02</v>
      </c>
      <c r="O13" s="112">
        <v>0.14000000000000001</v>
      </c>
      <c r="P13" s="117"/>
      <c r="Q13" s="117"/>
      <c r="R13" s="117"/>
      <c r="S13" s="117"/>
      <c r="T13" s="117"/>
      <c r="U13" s="117"/>
      <c r="V13" s="117"/>
      <c r="W13" s="117"/>
    </row>
    <row r="14" spans="2:23">
      <c r="E14" s="112"/>
      <c r="F14" s="112"/>
      <c r="G14" s="112"/>
      <c r="H14" s="112"/>
      <c r="I14" s="112"/>
      <c r="J14" s="112"/>
      <c r="K14" s="112"/>
    </row>
    <row r="15" spans="2:23">
      <c r="D15" s="267" t="s">
        <v>167</v>
      </c>
      <c r="E15" s="267"/>
      <c r="F15" s="267"/>
      <c r="G15" s="267"/>
      <c r="H15" s="267"/>
      <c r="I15" s="267"/>
      <c r="J15" s="267"/>
      <c r="K15" s="267"/>
      <c r="L15" s="267"/>
      <c r="M15" s="267"/>
      <c r="N15" s="267"/>
      <c r="O15" s="267"/>
      <c r="P15" s="117"/>
      <c r="Q15" s="117"/>
      <c r="R15" s="117"/>
      <c r="S15" s="117"/>
      <c r="T15" s="117"/>
      <c r="U15" s="117"/>
      <c r="V15" s="117"/>
      <c r="W15" s="117"/>
    </row>
    <row r="16" spans="2:23">
      <c r="C16" s="70" t="s">
        <v>166</v>
      </c>
      <c r="D16" s="55">
        <v>1</v>
      </c>
      <c r="E16" s="55">
        <v>2</v>
      </c>
      <c r="F16" s="55">
        <v>3</v>
      </c>
      <c r="G16" s="55">
        <v>4</v>
      </c>
      <c r="H16" s="55">
        <v>5</v>
      </c>
      <c r="I16" s="55">
        <v>6</v>
      </c>
      <c r="J16" s="55">
        <v>7</v>
      </c>
      <c r="K16" s="55">
        <v>8</v>
      </c>
      <c r="L16" s="55">
        <v>9</v>
      </c>
      <c r="M16" s="55">
        <v>10</v>
      </c>
      <c r="N16" s="55">
        <v>11</v>
      </c>
      <c r="O16" s="55">
        <v>12</v>
      </c>
      <c r="P16" s="117"/>
      <c r="Q16" s="117"/>
      <c r="R16" s="117"/>
      <c r="S16" s="117"/>
      <c r="T16" s="117"/>
      <c r="U16" s="117"/>
      <c r="V16" s="117"/>
      <c r="W16" s="117"/>
    </row>
    <row r="17" spans="1:23">
      <c r="B17" s="193"/>
      <c r="C17" s="76" t="s">
        <v>105</v>
      </c>
      <c r="D17" s="41">
        <v>23</v>
      </c>
      <c r="E17" s="41">
        <f>ROUNDDOWN(D17*(1+E11),0)</f>
        <v>22</v>
      </c>
      <c r="F17" s="121">
        <f t="shared" ref="F17" si="0">ROUNDDOWN(E17*(1+F11),0)</f>
        <v>19</v>
      </c>
      <c r="G17" s="41">
        <f>ROUNDDOWN(F17*(1+G11),0)</f>
        <v>20</v>
      </c>
      <c r="H17" s="41">
        <f t="shared" ref="H17:K17" si="1">ROUNDDOWN(G17*(1+H11),0)</f>
        <v>20</v>
      </c>
      <c r="I17" s="41">
        <f t="shared" si="1"/>
        <v>20</v>
      </c>
      <c r="J17" s="41">
        <f t="shared" si="1"/>
        <v>18</v>
      </c>
      <c r="K17" s="41">
        <f t="shared" si="1"/>
        <v>19</v>
      </c>
      <c r="L17" s="41">
        <f t="shared" ref="L17:O17" si="2">ROUNDDOWN(K17*(1+L11),0)</f>
        <v>19</v>
      </c>
      <c r="M17" s="41">
        <f t="shared" si="2"/>
        <v>19</v>
      </c>
      <c r="N17" s="41">
        <f t="shared" si="2"/>
        <v>17</v>
      </c>
      <c r="O17" s="41">
        <f t="shared" si="2"/>
        <v>18</v>
      </c>
      <c r="P17" s="117"/>
      <c r="Q17" s="117"/>
      <c r="R17" s="117"/>
      <c r="S17" s="117"/>
      <c r="T17" s="117"/>
      <c r="U17" s="117"/>
      <c r="V17" s="117"/>
      <c r="W17" s="117"/>
    </row>
    <row r="18" spans="1:23">
      <c r="B18" s="193"/>
      <c r="C18" s="41" t="s">
        <v>106</v>
      </c>
      <c r="D18" s="41">
        <v>23</v>
      </c>
      <c r="E18" s="41">
        <f>ROUNDDOWN(D18*(1+E12),0)</f>
        <v>23</v>
      </c>
      <c r="F18" s="41">
        <f t="shared" ref="F18:O18" si="3">ROUNDDOWN(E18*(1+F12),0)</f>
        <v>22</v>
      </c>
      <c r="G18" s="41">
        <f>ROUNDDOWN(F18*(1+G12),0)</f>
        <v>24</v>
      </c>
      <c r="H18" s="41">
        <f t="shared" si="3"/>
        <v>24</v>
      </c>
      <c r="I18" s="41">
        <f t="shared" si="3"/>
        <v>25</v>
      </c>
      <c r="J18" s="41">
        <f t="shared" si="3"/>
        <v>24</v>
      </c>
      <c r="K18" s="41">
        <f t="shared" si="3"/>
        <v>26</v>
      </c>
      <c r="L18" s="41">
        <f t="shared" si="3"/>
        <v>27</v>
      </c>
      <c r="M18" s="41">
        <f t="shared" si="3"/>
        <v>28</v>
      </c>
      <c r="N18" s="41">
        <f t="shared" si="3"/>
        <v>26</v>
      </c>
      <c r="O18" s="41">
        <f t="shared" si="3"/>
        <v>28</v>
      </c>
      <c r="P18" s="117"/>
      <c r="Q18" s="117"/>
      <c r="R18" s="117"/>
      <c r="S18" s="117"/>
      <c r="T18" s="117"/>
      <c r="U18" s="117"/>
      <c r="V18" s="117"/>
      <c r="W18" s="117"/>
    </row>
    <row r="19" spans="1:23">
      <c r="B19" s="193"/>
      <c r="C19" s="41" t="s">
        <v>107</v>
      </c>
      <c r="D19" s="41">
        <v>23</v>
      </c>
      <c r="E19" s="41">
        <f>ROUNDDOWN(D19*(1+E13),0)</f>
        <v>24</v>
      </c>
      <c r="F19" s="41">
        <f t="shared" ref="F19:K19" si="4">ROUNDDOWN(E19*(1+F13),0)</f>
        <v>23</v>
      </c>
      <c r="G19" s="41">
        <f t="shared" si="4"/>
        <v>26</v>
      </c>
      <c r="H19" s="41">
        <f t="shared" si="4"/>
        <v>28</v>
      </c>
      <c r="I19" s="41">
        <f t="shared" si="4"/>
        <v>29</v>
      </c>
      <c r="J19" s="41">
        <f t="shared" si="4"/>
        <v>28</v>
      </c>
      <c r="K19" s="41">
        <f t="shared" si="4"/>
        <v>31</v>
      </c>
      <c r="L19" s="41">
        <f t="shared" ref="L19:O19" si="5">ROUNDDOWN(K19*(1+L13),0)</f>
        <v>33</v>
      </c>
      <c r="M19" s="41">
        <f t="shared" si="5"/>
        <v>34</v>
      </c>
      <c r="N19" s="41">
        <f t="shared" si="5"/>
        <v>33</v>
      </c>
      <c r="O19" s="41">
        <f t="shared" si="5"/>
        <v>37</v>
      </c>
      <c r="P19" s="117"/>
      <c r="Q19" s="117"/>
      <c r="R19" s="117"/>
      <c r="S19" s="117"/>
      <c r="T19" s="117"/>
      <c r="U19" s="117"/>
      <c r="V19" s="117"/>
      <c r="W19" s="117"/>
    </row>
    <row r="21" spans="1:23" ht="17.25">
      <c r="B21" s="194" t="s">
        <v>108</v>
      </c>
      <c r="C21" s="72">
        <v>2</v>
      </c>
      <c r="D21" s="194" t="str">
        <f>VLOOKUP(C21,B11:C13,2)</f>
        <v>Moderado</v>
      </c>
    </row>
    <row r="23" spans="1:23">
      <c r="D23" s="54">
        <v>2024</v>
      </c>
      <c r="E23" s="54">
        <v>2025</v>
      </c>
      <c r="F23" s="54">
        <v>2026</v>
      </c>
      <c r="G23" s="117"/>
      <c r="H23" s="117"/>
    </row>
    <row r="24" spans="1:23">
      <c r="D24" s="55" t="s">
        <v>101</v>
      </c>
      <c r="E24" s="55" t="s">
        <v>102</v>
      </c>
      <c r="F24" s="55" t="s">
        <v>103</v>
      </c>
      <c r="G24" s="117"/>
      <c r="H24" s="117"/>
    </row>
    <row r="25" spans="1:23">
      <c r="B25" s="41" t="s">
        <v>164</v>
      </c>
      <c r="D25" s="111">
        <f>D4</f>
        <v>4.8000000000000001E-2</v>
      </c>
      <c r="E25" s="111">
        <f t="shared" ref="E25:F25" si="6">E4</f>
        <v>4.1000000000000002E-2</v>
      </c>
      <c r="F25" s="111">
        <f t="shared" si="6"/>
        <v>3.5000000000000003E-2</v>
      </c>
    </row>
    <row r="26" spans="1:23">
      <c r="B26" s="71" t="s">
        <v>169</v>
      </c>
      <c r="D26" s="208">
        <f>P.E!D41</f>
        <v>651786.79403105774</v>
      </c>
      <c r="E26" s="50">
        <f>D26*(1+D25)</f>
        <v>683072.56014454854</v>
      </c>
      <c r="F26" s="50">
        <f>E26*(1+E25)</f>
        <v>711078.53511047503</v>
      </c>
      <c r="G26" s="117"/>
      <c r="H26" s="117"/>
    </row>
    <row r="27" spans="1:23">
      <c r="B27" s="71" t="s">
        <v>170</v>
      </c>
      <c r="C27" s="122"/>
      <c r="D27" s="208">
        <f>P.E!$D$13</f>
        <v>81442.737414141418</v>
      </c>
      <c r="E27" s="50">
        <f>D27*(1+D25)</f>
        <v>85351.988810020208</v>
      </c>
      <c r="F27" s="50">
        <f>E27*(1+D4)</f>
        <v>89448.884272901181</v>
      </c>
      <c r="G27" s="117"/>
      <c r="H27" s="117"/>
    </row>
    <row r="28" spans="1:23">
      <c r="B28" s="71"/>
      <c r="C28" s="122"/>
      <c r="D28" s="208"/>
      <c r="E28" s="50"/>
      <c r="F28" s="50"/>
      <c r="G28" s="117"/>
      <c r="H28" s="117"/>
    </row>
    <row r="29" spans="1:23">
      <c r="B29" s="71" t="s">
        <v>171</v>
      </c>
      <c r="C29" s="122"/>
      <c r="D29" s="208">
        <f>SUM(Presupuesto!E11:E15)+D7*E7</f>
        <v>8317888.888888889</v>
      </c>
      <c r="E29" s="50">
        <f>D29*(1+D25)</f>
        <v>8717147.555555556</v>
      </c>
      <c r="F29" s="50">
        <f>E29*(1+E25)</f>
        <v>9074550.6053333338</v>
      </c>
      <c r="G29" s="117"/>
      <c r="H29" s="117"/>
    </row>
    <row r="30" spans="1:23">
      <c r="A30" s="123">
        <v>0.02</v>
      </c>
      <c r="B30" s="98" t="s">
        <v>197</v>
      </c>
      <c r="C30" s="80"/>
      <c r="D30" s="97">
        <f>$A$30*D29</f>
        <v>166357.77777777778</v>
      </c>
      <c r="E30" s="97">
        <f>$A$30*E29</f>
        <v>174342.95111111112</v>
      </c>
      <c r="F30" s="97">
        <f>$A$30*F29</f>
        <v>181491.01210666669</v>
      </c>
      <c r="G30" s="117"/>
      <c r="H30" s="117"/>
    </row>
    <row r="31" spans="1:23">
      <c r="A31" s="123"/>
      <c r="B31" s="71" t="s">
        <v>111</v>
      </c>
      <c r="C31" s="71"/>
      <c r="D31" s="47">
        <f>D29+D30</f>
        <v>8484246.666666666</v>
      </c>
      <c r="E31" s="47">
        <f>E29+E30</f>
        <v>8891490.5066666678</v>
      </c>
      <c r="F31" s="47">
        <f t="shared" ref="F31" si="7">F29+F30</f>
        <v>9256041.6174400002</v>
      </c>
      <c r="G31" s="117"/>
      <c r="H31" s="117"/>
    </row>
    <row r="32" spans="1:23">
      <c r="B32" s="124" t="s">
        <v>172</v>
      </c>
    </row>
    <row r="34" spans="2:23">
      <c r="B34" s="55" t="s">
        <v>61</v>
      </c>
    </row>
    <row r="35" spans="2:23">
      <c r="D35" s="193">
        <v>1</v>
      </c>
      <c r="E35" s="193">
        <v>2</v>
      </c>
      <c r="F35" s="193">
        <v>3</v>
      </c>
      <c r="G35" s="193">
        <v>4</v>
      </c>
      <c r="H35" s="193">
        <v>5</v>
      </c>
      <c r="I35" s="193">
        <v>6</v>
      </c>
      <c r="J35" s="193">
        <v>7</v>
      </c>
      <c r="K35" s="193">
        <v>8</v>
      </c>
      <c r="L35" s="193">
        <v>9</v>
      </c>
      <c r="M35" s="193">
        <v>10</v>
      </c>
      <c r="N35" s="193">
        <v>11</v>
      </c>
      <c r="O35" s="193">
        <v>12</v>
      </c>
      <c r="P35" s="117"/>
      <c r="Q35" s="117"/>
      <c r="R35" s="117"/>
      <c r="S35" s="117"/>
      <c r="T35" s="117"/>
      <c r="U35" s="117"/>
      <c r="V35" s="117"/>
      <c r="W35" s="117"/>
    </row>
    <row r="36" spans="2:23">
      <c r="C36" s="125" t="s">
        <v>104</v>
      </c>
      <c r="D36" s="55" t="s">
        <v>101</v>
      </c>
      <c r="E36" s="55" t="s">
        <v>101</v>
      </c>
      <c r="F36" s="55" t="s">
        <v>101</v>
      </c>
      <c r="G36" s="55" t="s">
        <v>101</v>
      </c>
      <c r="H36" s="126" t="s">
        <v>102</v>
      </c>
      <c r="I36" s="126" t="s">
        <v>102</v>
      </c>
      <c r="J36" s="126" t="s">
        <v>102</v>
      </c>
      <c r="K36" s="126" t="s">
        <v>102</v>
      </c>
      <c r="L36" s="126" t="s">
        <v>103</v>
      </c>
      <c r="M36" s="126" t="s">
        <v>103</v>
      </c>
      <c r="N36" s="126" t="s">
        <v>103</v>
      </c>
      <c r="O36" s="126" t="s">
        <v>103</v>
      </c>
      <c r="P36" s="117"/>
      <c r="Q36" s="117"/>
      <c r="R36" s="117"/>
      <c r="S36" s="117"/>
      <c r="T36" s="117"/>
      <c r="U36" s="117"/>
      <c r="V36" s="117"/>
      <c r="W36" s="117"/>
    </row>
    <row r="37" spans="2:23">
      <c r="C37" s="125" t="s">
        <v>178</v>
      </c>
      <c r="D37" s="54" t="s">
        <v>93</v>
      </c>
      <c r="E37" s="54" t="s">
        <v>94</v>
      </c>
      <c r="F37" s="54" t="s">
        <v>95</v>
      </c>
      <c r="G37" s="54" t="s">
        <v>96</v>
      </c>
      <c r="H37" s="127" t="s">
        <v>97</v>
      </c>
      <c r="I37" s="127" t="s">
        <v>98</v>
      </c>
      <c r="J37" s="127" t="s">
        <v>99</v>
      </c>
      <c r="K37" s="127" t="s">
        <v>100</v>
      </c>
      <c r="L37" s="127" t="s">
        <v>174</v>
      </c>
      <c r="M37" s="127" t="s">
        <v>175</v>
      </c>
      <c r="N37" s="127" t="s">
        <v>176</v>
      </c>
      <c r="O37" s="127" t="s">
        <v>177</v>
      </c>
      <c r="P37" s="117"/>
      <c r="Q37" s="117"/>
      <c r="R37" s="117"/>
      <c r="S37" s="117"/>
      <c r="T37" s="117"/>
      <c r="U37" s="117"/>
      <c r="V37" s="117"/>
      <c r="W37" s="117"/>
    </row>
    <row r="38" spans="2:23">
      <c r="B38" s="80" t="s">
        <v>72</v>
      </c>
      <c r="C38" s="80"/>
      <c r="D38" s="80">
        <f>HLOOKUP(D35,$D$16:$O$19,$C$21+1)</f>
        <v>23</v>
      </c>
      <c r="E38" s="80">
        <f t="shared" ref="E38:O38" si="8">HLOOKUP(E35,$D$16:$O$19,$C$21+1)</f>
        <v>23</v>
      </c>
      <c r="F38" s="80">
        <f t="shared" si="8"/>
        <v>22</v>
      </c>
      <c r="G38" s="80">
        <f>HLOOKUP(G35,$D$16:$O$19,$C$21+1)</f>
        <v>24</v>
      </c>
      <c r="H38" s="80">
        <f t="shared" si="8"/>
        <v>24</v>
      </c>
      <c r="I38" s="80">
        <f t="shared" si="8"/>
        <v>25</v>
      </c>
      <c r="J38" s="80">
        <f t="shared" si="8"/>
        <v>24</v>
      </c>
      <c r="K38" s="80">
        <f t="shared" si="8"/>
        <v>26</v>
      </c>
      <c r="L38" s="80">
        <f t="shared" si="8"/>
        <v>27</v>
      </c>
      <c r="M38" s="80">
        <f t="shared" si="8"/>
        <v>28</v>
      </c>
      <c r="N38" s="80">
        <f t="shared" si="8"/>
        <v>26</v>
      </c>
      <c r="O38" s="80">
        <f t="shared" si="8"/>
        <v>28</v>
      </c>
      <c r="P38" s="117"/>
      <c r="Q38" s="117"/>
      <c r="R38" s="117"/>
      <c r="S38" s="117"/>
      <c r="T38" s="117"/>
      <c r="U38" s="117"/>
      <c r="V38" s="117"/>
      <c r="W38" s="117"/>
    </row>
    <row r="39" spans="2:23">
      <c r="B39" s="71" t="s">
        <v>62</v>
      </c>
      <c r="C39" s="50"/>
      <c r="D39" s="50">
        <f>D38*_xlfn.XLOOKUP(D36,$D$24:$F$24,$D$26:$F$26)</f>
        <v>14991096.262714328</v>
      </c>
      <c r="E39" s="50">
        <f>E38*_xlfn.XLOOKUP(E36,$D$24:$F$24,$D$26:$F$26)</f>
        <v>14991096.262714328</v>
      </c>
      <c r="F39" s="50">
        <f>F38*_xlfn.XLOOKUP(F36,$D$24:$F$24,$D$26:$F$26)</f>
        <v>14339309.468683271</v>
      </c>
      <c r="G39" s="50">
        <f t="shared" ref="G39:H39" si="9">G38*_xlfn.XLOOKUP(G36,$D$24:$F$24,$D$26:$F$26)</f>
        <v>15642883.056745386</v>
      </c>
      <c r="H39" s="50">
        <f t="shared" si="9"/>
        <v>16393741.443469165</v>
      </c>
      <c r="I39" s="50">
        <f t="shared" ref="I39" si="10">I38*_xlfn.XLOOKUP(I36,$D$24:$F$24,$D$26:$F$26)</f>
        <v>17076814.003613714</v>
      </c>
      <c r="J39" s="50">
        <f t="shared" ref="J39" si="11">J38*_xlfn.XLOOKUP(J36,$D$24:$F$24,$D$26:$F$26)</f>
        <v>16393741.443469165</v>
      </c>
      <c r="K39" s="50">
        <f t="shared" ref="K39:L39" si="12">K38*_xlfn.XLOOKUP(K36,$D$24:$F$24,$D$26:$F$26)</f>
        <v>17759886.563758262</v>
      </c>
      <c r="L39" s="50">
        <f t="shared" si="12"/>
        <v>19199120.447982825</v>
      </c>
      <c r="M39" s="50">
        <f t="shared" ref="M39" si="13">M38*_xlfn.XLOOKUP(M36,$D$24:$F$24,$D$26:$F$26)</f>
        <v>19910198.983093299</v>
      </c>
      <c r="N39" s="50">
        <f t="shared" ref="N39" si="14">N38*_xlfn.XLOOKUP(N36,$D$24:$F$24,$D$26:$F$26)</f>
        <v>18488041.912872352</v>
      </c>
      <c r="O39" s="50">
        <f t="shared" ref="O39" si="15">O38*_xlfn.XLOOKUP(O36,$D$24:$F$24,$D$26:$F$26)</f>
        <v>19910198.983093299</v>
      </c>
      <c r="P39" s="117"/>
      <c r="Q39" s="117"/>
      <c r="R39" s="117"/>
      <c r="S39" s="117"/>
      <c r="T39" s="117"/>
      <c r="U39" s="117"/>
      <c r="V39" s="117"/>
      <c r="W39" s="117"/>
    </row>
    <row r="40" spans="2:23" ht="7.9" customHeight="1">
      <c r="B40" s="71"/>
      <c r="D40" s="50"/>
      <c r="E40" s="50"/>
      <c r="F40" s="50"/>
      <c r="G40" s="50"/>
      <c r="H40" s="50"/>
      <c r="I40" s="50"/>
      <c r="J40" s="50"/>
      <c r="K40" s="50"/>
      <c r="L40" s="50"/>
      <c r="M40" s="50"/>
      <c r="N40" s="50"/>
      <c r="O40" s="50"/>
      <c r="P40" s="117"/>
      <c r="Q40" s="117"/>
      <c r="R40" s="117"/>
      <c r="S40" s="117"/>
      <c r="T40" s="117"/>
      <c r="U40" s="117"/>
      <c r="V40" s="117"/>
      <c r="W40" s="117"/>
    </row>
    <row r="41" spans="2:23">
      <c r="B41" s="80" t="s">
        <v>63</v>
      </c>
      <c r="C41" s="97"/>
      <c r="D41" s="48">
        <f>D38*_xlfn.XLOOKUP(D36,$D$24:$F$24,$D$27:$F$27)</f>
        <v>1873182.9605252526</v>
      </c>
      <c r="E41" s="48">
        <f t="shared" ref="E41:O41" si="16">E38*_xlfn.XLOOKUP(E36,$D$24:$F$24,$D$27:$F$27)</f>
        <v>1873182.9605252526</v>
      </c>
      <c r="F41" s="48">
        <f t="shared" si="16"/>
        <v>1791740.2231111112</v>
      </c>
      <c r="G41" s="48">
        <f t="shared" si="16"/>
        <v>1954625.697939394</v>
      </c>
      <c r="H41" s="48">
        <f t="shared" si="16"/>
        <v>2048447.731440485</v>
      </c>
      <c r="I41" s="48">
        <f t="shared" si="16"/>
        <v>2133799.720250505</v>
      </c>
      <c r="J41" s="48">
        <f t="shared" si="16"/>
        <v>2048447.731440485</v>
      </c>
      <c r="K41" s="48">
        <f>K38*_xlfn.XLOOKUP(K36,$D$24:$F$24,$D$27:$F$27)</f>
        <v>2219151.7090605255</v>
      </c>
      <c r="L41" s="48">
        <f t="shared" si="16"/>
        <v>2415119.875368332</v>
      </c>
      <c r="M41" s="48">
        <f t="shared" si="16"/>
        <v>2504568.7596412329</v>
      </c>
      <c r="N41" s="48">
        <f t="shared" si="16"/>
        <v>2325670.9910954307</v>
      </c>
      <c r="O41" s="48">
        <f t="shared" si="16"/>
        <v>2504568.7596412329</v>
      </c>
      <c r="P41" s="117"/>
      <c r="Q41" s="117"/>
      <c r="R41" s="117"/>
      <c r="S41" s="117"/>
      <c r="T41" s="117"/>
      <c r="U41" s="117"/>
      <c r="V41" s="117"/>
      <c r="W41" s="117"/>
    </row>
    <row r="42" spans="2:23">
      <c r="B42" s="71" t="s">
        <v>64</v>
      </c>
      <c r="C42" s="71"/>
      <c r="D42" s="47">
        <f>D39-D41</f>
        <v>13117913.302189076</v>
      </c>
      <c r="E42" s="47">
        <f t="shared" ref="E42:O42" si="17">E39-E41</f>
        <v>13117913.302189076</v>
      </c>
      <c r="F42" s="47">
        <f t="shared" si="17"/>
        <v>12547569.245572159</v>
      </c>
      <c r="G42" s="47">
        <f t="shared" si="17"/>
        <v>13688257.358805992</v>
      </c>
      <c r="H42" s="47">
        <f t="shared" si="17"/>
        <v>14345293.71202868</v>
      </c>
      <c r="I42" s="47">
        <f t="shared" si="17"/>
        <v>14943014.283363208</v>
      </c>
      <c r="J42" s="47">
        <f t="shared" si="17"/>
        <v>14345293.71202868</v>
      </c>
      <c r="K42" s="47">
        <f t="shared" si="17"/>
        <v>15540734.854697736</v>
      </c>
      <c r="L42" s="47">
        <f t="shared" si="17"/>
        <v>16784000.572614495</v>
      </c>
      <c r="M42" s="47">
        <f t="shared" si="17"/>
        <v>17405630.223452065</v>
      </c>
      <c r="N42" s="47">
        <f t="shared" si="17"/>
        <v>16162370.921776921</v>
      </c>
      <c r="O42" s="47">
        <f t="shared" si="17"/>
        <v>17405630.223452065</v>
      </c>
      <c r="P42" s="117"/>
      <c r="Q42" s="117"/>
      <c r="R42" s="117"/>
      <c r="S42" s="117"/>
      <c r="T42" s="117"/>
      <c r="U42" s="117"/>
      <c r="V42" s="117"/>
      <c r="W42" s="117"/>
    </row>
    <row r="43" spans="2:23" ht="31.15" customHeight="1">
      <c r="B43" s="198" t="s">
        <v>173</v>
      </c>
      <c r="C43" s="193"/>
      <c r="D43" s="197">
        <f>D42/D39</f>
        <v>0.87504696603248355</v>
      </c>
      <c r="E43" s="197">
        <f t="shared" ref="E43:O43" si="18">E42/E39</f>
        <v>0.87504696603248355</v>
      </c>
      <c r="F43" s="197">
        <f t="shared" si="18"/>
        <v>0.87504696603248355</v>
      </c>
      <c r="G43" s="197">
        <f t="shared" si="18"/>
        <v>0.87504696603248355</v>
      </c>
      <c r="H43" s="197">
        <f t="shared" si="18"/>
        <v>0.87504696603248355</v>
      </c>
      <c r="I43" s="197">
        <f t="shared" si="18"/>
        <v>0.87504696603248344</v>
      </c>
      <c r="J43" s="197">
        <f t="shared" si="18"/>
        <v>0.87504696603248355</v>
      </c>
      <c r="K43" s="197">
        <f t="shared" si="18"/>
        <v>0.87504696603248355</v>
      </c>
      <c r="L43" s="197">
        <f t="shared" si="18"/>
        <v>0.87420674390205844</v>
      </c>
      <c r="M43" s="197">
        <f t="shared" si="18"/>
        <v>0.87420674390205833</v>
      </c>
      <c r="N43" s="197">
        <f t="shared" si="18"/>
        <v>0.87420674390205833</v>
      </c>
      <c r="O43" s="197">
        <f t="shared" si="18"/>
        <v>0.87420674390205833</v>
      </c>
      <c r="P43" s="117"/>
      <c r="Q43" s="117"/>
      <c r="R43" s="117"/>
      <c r="S43" s="117"/>
      <c r="T43" s="117"/>
      <c r="U43" s="117"/>
      <c r="V43" s="117"/>
      <c r="W43" s="117"/>
    </row>
    <row r="44" spans="2:23">
      <c r="P44" s="117"/>
      <c r="Q44" s="117"/>
      <c r="R44" s="117"/>
      <c r="S44" s="117"/>
      <c r="T44" s="117"/>
      <c r="U44" s="117"/>
      <c r="V44" s="117"/>
      <c r="W44" s="117"/>
    </row>
    <row r="45" spans="2:23">
      <c r="B45" s="80" t="s">
        <v>71</v>
      </c>
      <c r="C45" s="80"/>
      <c r="D45" s="48">
        <f>_xlfn.XLOOKUP(D36,$D$24:$F$24,$D$29:$F$29)</f>
        <v>8317888.888888889</v>
      </c>
      <c r="E45" s="48">
        <f>_xlfn.XLOOKUP(E36,$D$24:$H$24,$D$29:$H$29)</f>
        <v>8317888.888888889</v>
      </c>
      <c r="F45" s="48">
        <f t="shared" ref="F45:O45" si="19">_xlfn.XLOOKUP(F36,$D$24:$H$24,$D$29:$H$29)</f>
        <v>8317888.888888889</v>
      </c>
      <c r="G45" s="48">
        <f t="shared" si="19"/>
        <v>8317888.888888889</v>
      </c>
      <c r="H45" s="48">
        <f>_xlfn.XLOOKUP(H36,$D$24:$H$24,$D$29:$H$29)</f>
        <v>8717147.555555556</v>
      </c>
      <c r="I45" s="48">
        <f t="shared" si="19"/>
        <v>8717147.555555556</v>
      </c>
      <c r="J45" s="48">
        <f t="shared" si="19"/>
        <v>8717147.555555556</v>
      </c>
      <c r="K45" s="48">
        <f t="shared" si="19"/>
        <v>8717147.555555556</v>
      </c>
      <c r="L45" s="48">
        <f t="shared" si="19"/>
        <v>9074550.6053333338</v>
      </c>
      <c r="M45" s="48">
        <f t="shared" si="19"/>
        <v>9074550.6053333338</v>
      </c>
      <c r="N45" s="48">
        <f t="shared" si="19"/>
        <v>9074550.6053333338</v>
      </c>
      <c r="O45" s="48">
        <f t="shared" si="19"/>
        <v>9074550.6053333338</v>
      </c>
      <c r="P45" s="117"/>
      <c r="Q45" s="117"/>
      <c r="R45" s="117"/>
      <c r="S45" s="117"/>
      <c r="T45" s="117"/>
      <c r="U45" s="117"/>
      <c r="V45" s="117"/>
      <c r="W45" s="117"/>
    </row>
    <row r="46" spans="2:23">
      <c r="B46" s="71" t="s">
        <v>147</v>
      </c>
      <c r="C46" s="71"/>
      <c r="D46" s="47">
        <f>D42-D45</f>
        <v>4800024.4133001873</v>
      </c>
      <c r="E46" s="47">
        <f>E42-E45</f>
        <v>4800024.4133001873</v>
      </c>
      <c r="F46" s="47">
        <f t="shared" ref="F46:O46" si="20">F42-F45</f>
        <v>4229680.3566832701</v>
      </c>
      <c r="G46" s="47">
        <f t="shared" si="20"/>
        <v>5370368.4699171027</v>
      </c>
      <c r="H46" s="47">
        <f t="shared" si="20"/>
        <v>5628146.1564731244</v>
      </c>
      <c r="I46" s="47">
        <f t="shared" si="20"/>
        <v>6225866.7278076522</v>
      </c>
      <c r="J46" s="47">
        <f t="shared" si="20"/>
        <v>5628146.1564731244</v>
      </c>
      <c r="K46" s="47">
        <f t="shared" si="20"/>
        <v>6823587.29914218</v>
      </c>
      <c r="L46" s="47">
        <f t="shared" si="20"/>
        <v>7709449.9672811609</v>
      </c>
      <c r="M46" s="47">
        <f t="shared" si="20"/>
        <v>8331079.6181187313</v>
      </c>
      <c r="N46" s="47">
        <f t="shared" si="20"/>
        <v>7087820.3164435867</v>
      </c>
      <c r="O46" s="47">
        <f t="shared" si="20"/>
        <v>8331079.6181187313</v>
      </c>
      <c r="P46" s="117"/>
      <c r="Q46" s="117"/>
      <c r="R46" s="117"/>
      <c r="S46" s="117"/>
      <c r="T46" s="117"/>
      <c r="U46" s="117"/>
      <c r="V46" s="117"/>
      <c r="W46" s="117"/>
    </row>
    <row r="47" spans="2:23">
      <c r="P47" s="117"/>
      <c r="Q47" s="117"/>
      <c r="R47" s="117"/>
      <c r="S47" s="117"/>
      <c r="T47" s="117"/>
      <c r="U47" s="117"/>
      <c r="V47" s="117"/>
      <c r="W47" s="117"/>
    </row>
    <row r="48" spans="2:23">
      <c r="B48" s="80" t="s">
        <v>66</v>
      </c>
      <c r="C48" s="80"/>
      <c r="D48" s="48">
        <f>_xlfn.XLOOKUP(D36,$D$24:$H$24,$D$30:$H$30)</f>
        <v>166357.77777777778</v>
      </c>
      <c r="E48" s="48">
        <f t="shared" ref="E48:O48" si="21">_xlfn.XLOOKUP(E36,$D$24:$H$24,$D$30:$H$30)</f>
        <v>166357.77777777778</v>
      </c>
      <c r="F48" s="48">
        <f t="shared" si="21"/>
        <v>166357.77777777778</v>
      </c>
      <c r="G48" s="48">
        <f t="shared" si="21"/>
        <v>166357.77777777778</v>
      </c>
      <c r="H48" s="48">
        <f t="shared" si="21"/>
        <v>174342.95111111112</v>
      </c>
      <c r="I48" s="48">
        <f t="shared" si="21"/>
        <v>174342.95111111112</v>
      </c>
      <c r="J48" s="48">
        <f t="shared" si="21"/>
        <v>174342.95111111112</v>
      </c>
      <c r="K48" s="48">
        <f t="shared" si="21"/>
        <v>174342.95111111112</v>
      </c>
      <c r="L48" s="48">
        <f t="shared" si="21"/>
        <v>181491.01210666669</v>
      </c>
      <c r="M48" s="48">
        <f t="shared" si="21"/>
        <v>181491.01210666669</v>
      </c>
      <c r="N48" s="48">
        <f t="shared" si="21"/>
        <v>181491.01210666669</v>
      </c>
      <c r="O48" s="48">
        <f t="shared" si="21"/>
        <v>181491.01210666669</v>
      </c>
      <c r="P48" s="117"/>
      <c r="Q48" s="117"/>
      <c r="R48" s="117"/>
      <c r="S48" s="117"/>
      <c r="T48" s="117"/>
      <c r="U48" s="117"/>
      <c r="V48" s="117"/>
      <c r="W48" s="117"/>
    </row>
    <row r="49" spans="1:31">
      <c r="B49" s="71" t="s">
        <v>67</v>
      </c>
      <c r="C49" s="71"/>
      <c r="D49" s="47">
        <f>D46-D48</f>
        <v>4633666.6355224093</v>
      </c>
      <c r="E49" s="47">
        <f t="shared" ref="E49:O49" si="22">E46-E48</f>
        <v>4633666.6355224093</v>
      </c>
      <c r="F49" s="47">
        <f>F46-F48</f>
        <v>4063322.5789054921</v>
      </c>
      <c r="G49" s="47">
        <f t="shared" si="22"/>
        <v>5204010.6921393247</v>
      </c>
      <c r="H49" s="47">
        <f t="shared" si="22"/>
        <v>5453803.2053620135</v>
      </c>
      <c r="I49" s="47">
        <f t="shared" si="22"/>
        <v>6051523.7766965413</v>
      </c>
      <c r="J49" s="47">
        <f t="shared" si="22"/>
        <v>5453803.2053620135</v>
      </c>
      <c r="K49" s="47">
        <f t="shared" si="22"/>
        <v>6649244.3480310692</v>
      </c>
      <c r="L49" s="47">
        <f t="shared" si="22"/>
        <v>7527958.9551744945</v>
      </c>
      <c r="M49" s="47">
        <f t="shared" si="22"/>
        <v>8149588.606012065</v>
      </c>
      <c r="N49" s="47">
        <f t="shared" si="22"/>
        <v>6906329.3043369204</v>
      </c>
      <c r="O49" s="47">
        <f t="shared" si="22"/>
        <v>8149588.606012065</v>
      </c>
      <c r="P49" s="117"/>
      <c r="Q49" s="117"/>
      <c r="R49" s="117"/>
      <c r="S49" s="117"/>
      <c r="T49" s="117"/>
      <c r="U49" s="117"/>
      <c r="V49" s="117"/>
      <c r="W49" s="117"/>
    </row>
    <row r="50" spans="1:31">
      <c r="P50" s="117"/>
      <c r="Q50" s="117"/>
      <c r="R50" s="117"/>
      <c r="S50" s="117"/>
      <c r="T50" s="117"/>
      <c r="U50" s="117"/>
      <c r="V50" s="117"/>
      <c r="W50" s="117"/>
    </row>
    <row r="51" spans="1:31">
      <c r="A51" s="123">
        <v>0.11</v>
      </c>
      <c r="B51" s="80" t="s">
        <v>68</v>
      </c>
      <c r="C51" s="80"/>
      <c r="D51" s="97">
        <f>D39*$A$51</f>
        <v>1649020.5888985761</v>
      </c>
      <c r="E51" s="97">
        <f t="shared" ref="E51:O51" si="23">E39*$A$51</f>
        <v>1649020.5888985761</v>
      </c>
      <c r="F51" s="97">
        <f t="shared" si="23"/>
        <v>1577324.0415551597</v>
      </c>
      <c r="G51" s="97">
        <f t="shared" si="23"/>
        <v>1720717.1362419925</v>
      </c>
      <c r="H51" s="97">
        <f t="shared" si="23"/>
        <v>1803311.5587816082</v>
      </c>
      <c r="I51" s="97">
        <f t="shared" si="23"/>
        <v>1878449.5403975085</v>
      </c>
      <c r="J51" s="97">
        <f t="shared" si="23"/>
        <v>1803311.5587816082</v>
      </c>
      <c r="K51" s="97">
        <f t="shared" si="23"/>
        <v>1953587.5220134088</v>
      </c>
      <c r="L51" s="97">
        <f t="shared" si="23"/>
        <v>2111903.2492781109</v>
      </c>
      <c r="M51" s="97">
        <f t="shared" si="23"/>
        <v>2190121.888140263</v>
      </c>
      <c r="N51" s="97">
        <f t="shared" si="23"/>
        <v>2033684.6104159588</v>
      </c>
      <c r="O51" s="97">
        <f t="shared" si="23"/>
        <v>2190121.888140263</v>
      </c>
      <c r="P51" s="117"/>
      <c r="Q51" s="117"/>
      <c r="R51" s="117"/>
      <c r="S51" s="117"/>
      <c r="T51" s="117"/>
      <c r="U51" s="117"/>
      <c r="V51" s="117"/>
      <c r="W51" s="117"/>
    </row>
    <row r="52" spans="1:31">
      <c r="B52" s="71" t="s">
        <v>69</v>
      </c>
      <c r="C52" s="71"/>
      <c r="D52" s="47">
        <f>D49-D51</f>
        <v>2984646.0466238335</v>
      </c>
      <c r="E52" s="47">
        <f>E49-E51</f>
        <v>2984646.0466238335</v>
      </c>
      <c r="F52" s="47">
        <f>F49-F51</f>
        <v>2485998.5373503324</v>
      </c>
      <c r="G52" s="47">
        <f t="shared" ref="G52:O52" si="24">G49-G51</f>
        <v>3483293.5558973323</v>
      </c>
      <c r="H52" s="47">
        <f t="shared" si="24"/>
        <v>3650491.6465804055</v>
      </c>
      <c r="I52" s="47">
        <f t="shared" si="24"/>
        <v>4173074.2362990328</v>
      </c>
      <c r="J52" s="47">
        <f t="shared" si="24"/>
        <v>3650491.6465804055</v>
      </c>
      <c r="K52" s="47">
        <f t="shared" si="24"/>
        <v>4695656.8260176601</v>
      </c>
      <c r="L52" s="47">
        <f t="shared" si="24"/>
        <v>5416055.7058963832</v>
      </c>
      <c r="M52" s="47">
        <f t="shared" si="24"/>
        <v>5959466.7178718019</v>
      </c>
      <c r="N52" s="47">
        <f t="shared" si="24"/>
        <v>4872644.6939209616</v>
      </c>
      <c r="O52" s="47">
        <f t="shared" si="24"/>
        <v>5959466.7178718019</v>
      </c>
      <c r="P52" s="117"/>
      <c r="Q52" s="117"/>
      <c r="R52" s="117"/>
      <c r="S52" s="117"/>
      <c r="T52" s="117"/>
      <c r="U52" s="117"/>
      <c r="V52" s="117"/>
      <c r="W52" s="117"/>
    </row>
    <row r="53" spans="1:31">
      <c r="P53" s="117"/>
      <c r="Q53" s="117"/>
      <c r="R53" s="117"/>
      <c r="S53" s="117"/>
      <c r="T53" s="117"/>
      <c r="U53" s="117"/>
      <c r="V53" s="117"/>
      <c r="W53" s="117"/>
    </row>
    <row r="54" spans="1:31">
      <c r="B54" s="198" t="s">
        <v>70</v>
      </c>
      <c r="D54" s="197">
        <f>D52/D39</f>
        <v>0.19909458216522888</v>
      </c>
      <c r="E54" s="197">
        <f t="shared" ref="E54:O54" si="25">E52/E39</f>
        <v>0.19909458216522888</v>
      </c>
      <c r="F54" s="197">
        <f t="shared" si="25"/>
        <v>0.17336947380762632</v>
      </c>
      <c r="G54" s="197">
        <f t="shared" si="25"/>
        <v>0.22267593149303108</v>
      </c>
      <c r="H54" s="197">
        <f t="shared" si="25"/>
        <v>0.22267593149303117</v>
      </c>
      <c r="I54" s="197">
        <f t="shared" si="25"/>
        <v>0.2443707728746092</v>
      </c>
      <c r="J54" s="197">
        <f t="shared" si="25"/>
        <v>0.22267593149303117</v>
      </c>
      <c r="K54" s="197">
        <f t="shared" si="25"/>
        <v>0.26439678030375818</v>
      </c>
      <c r="L54" s="197">
        <f t="shared" si="25"/>
        <v>0.28209915764476734</v>
      </c>
      <c r="M54" s="197">
        <f t="shared" si="25"/>
        <v>0.29931728572538474</v>
      </c>
      <c r="N54" s="197">
        <f t="shared" si="25"/>
        <v>0.26355655817333307</v>
      </c>
      <c r="O54" s="197">
        <f t="shared" si="25"/>
        <v>0.29931728572538474</v>
      </c>
      <c r="P54" s="117"/>
      <c r="Q54" s="117"/>
      <c r="R54" s="117"/>
      <c r="S54" s="117"/>
      <c r="T54" s="117"/>
      <c r="U54" s="117"/>
      <c r="V54" s="117"/>
      <c r="W54" s="117"/>
    </row>
    <row r="55" spans="1:31">
      <c r="P55" s="117"/>
      <c r="Q55" s="117"/>
      <c r="R55" s="117"/>
      <c r="S55" s="117"/>
      <c r="T55" s="117"/>
      <c r="U55" s="117"/>
      <c r="V55" s="117"/>
      <c r="W55" s="117"/>
    </row>
    <row r="56" spans="1:31">
      <c r="B56" s="55" t="s">
        <v>112</v>
      </c>
      <c r="D56" s="193"/>
      <c r="E56" s="193"/>
      <c r="F56" s="193"/>
      <c r="G56" s="193"/>
      <c r="H56" s="193"/>
      <c r="I56" s="193"/>
      <c r="J56" s="193"/>
      <c r="K56" s="193"/>
      <c r="L56" s="193"/>
      <c r="M56" s="193"/>
      <c r="N56" s="193"/>
      <c r="O56" s="193"/>
      <c r="P56" s="117"/>
      <c r="Q56" s="117"/>
      <c r="R56" s="117"/>
      <c r="S56" s="117"/>
      <c r="T56" s="117"/>
      <c r="U56" s="117"/>
      <c r="V56" s="117"/>
      <c r="W56" s="117"/>
    </row>
    <row r="57" spans="1:31">
      <c r="D57" s="193">
        <v>1</v>
      </c>
      <c r="E57" s="193">
        <v>2</v>
      </c>
      <c r="F57" s="193">
        <v>3</v>
      </c>
      <c r="G57" s="193">
        <v>4</v>
      </c>
      <c r="H57" s="193">
        <v>5</v>
      </c>
      <c r="I57" s="193">
        <v>6</v>
      </c>
      <c r="J57" s="193">
        <v>7</v>
      </c>
      <c r="K57" s="193">
        <v>8</v>
      </c>
      <c r="L57" s="193">
        <v>9</v>
      </c>
      <c r="M57" s="193">
        <v>10</v>
      </c>
      <c r="N57" s="193">
        <v>11</v>
      </c>
      <c r="O57" s="193">
        <v>12</v>
      </c>
      <c r="P57" s="117"/>
      <c r="Q57" s="117"/>
      <c r="R57" s="117"/>
      <c r="S57" s="117"/>
      <c r="T57" s="117"/>
      <c r="U57" s="117"/>
      <c r="V57" s="117"/>
      <c r="W57" s="117"/>
    </row>
    <row r="58" spans="1:31">
      <c r="C58" s="125" t="s">
        <v>104</v>
      </c>
      <c r="D58" s="55" t="s">
        <v>101</v>
      </c>
      <c r="E58" s="55" t="s">
        <v>101</v>
      </c>
      <c r="F58" s="55" t="s">
        <v>101</v>
      </c>
      <c r="G58" s="55" t="s">
        <v>101</v>
      </c>
      <c r="H58" s="126" t="s">
        <v>102</v>
      </c>
      <c r="I58" s="126" t="s">
        <v>102</v>
      </c>
      <c r="J58" s="126" t="s">
        <v>102</v>
      </c>
      <c r="K58" s="126" t="s">
        <v>102</v>
      </c>
      <c r="L58" s="126" t="s">
        <v>103</v>
      </c>
      <c r="M58" s="126" t="s">
        <v>103</v>
      </c>
      <c r="N58" s="126" t="s">
        <v>103</v>
      </c>
      <c r="O58" s="126" t="s">
        <v>103</v>
      </c>
      <c r="P58" s="117"/>
      <c r="Q58" s="117"/>
      <c r="R58" s="117"/>
      <c r="S58" s="117"/>
      <c r="T58" s="117"/>
      <c r="U58" s="117"/>
      <c r="V58" s="117"/>
      <c r="W58" s="117"/>
    </row>
    <row r="59" spans="1:31">
      <c r="C59" s="125" t="s">
        <v>178</v>
      </c>
      <c r="D59" s="54" t="s">
        <v>93</v>
      </c>
      <c r="E59" s="54" t="s">
        <v>94</v>
      </c>
      <c r="F59" s="54" t="s">
        <v>95</v>
      </c>
      <c r="G59" s="54" t="s">
        <v>96</v>
      </c>
      <c r="H59" s="127" t="s">
        <v>97</v>
      </c>
      <c r="I59" s="127" t="s">
        <v>98</v>
      </c>
      <c r="J59" s="127" t="s">
        <v>99</v>
      </c>
      <c r="K59" s="127" t="s">
        <v>100</v>
      </c>
      <c r="L59" s="127" t="s">
        <v>174</v>
      </c>
      <c r="M59" s="127" t="s">
        <v>175</v>
      </c>
      <c r="N59" s="127" t="s">
        <v>176</v>
      </c>
      <c r="O59" s="127" t="s">
        <v>177</v>
      </c>
      <c r="P59" s="117"/>
      <c r="Q59" s="117"/>
      <c r="R59" s="117"/>
      <c r="S59" s="117"/>
      <c r="T59" s="117"/>
      <c r="U59" s="117"/>
      <c r="V59" s="117"/>
      <c r="W59" s="117"/>
      <c r="AE59" s="100"/>
    </row>
    <row r="60" spans="1:31">
      <c r="B60" s="41" t="s">
        <v>115</v>
      </c>
      <c r="C60" s="103">
        <f>-Inversión!C28</f>
        <v>-1494666.6666666665</v>
      </c>
      <c r="P60" s="117"/>
      <c r="Q60" s="117"/>
      <c r="R60" s="117"/>
      <c r="S60" s="117"/>
      <c r="T60" s="117"/>
      <c r="U60" s="117"/>
      <c r="V60" s="117"/>
      <c r="W60" s="117"/>
    </row>
    <row r="61" spans="1:31">
      <c r="B61" s="80" t="s">
        <v>113</v>
      </c>
      <c r="C61" s="80"/>
      <c r="D61" s="97">
        <f>D52</f>
        <v>2984646.0466238335</v>
      </c>
      <c r="E61" s="97">
        <f t="shared" ref="E61:O61" si="26">E52</f>
        <v>2984646.0466238335</v>
      </c>
      <c r="F61" s="97">
        <f t="shared" si="26"/>
        <v>2485998.5373503324</v>
      </c>
      <c r="G61" s="97">
        <f t="shared" si="26"/>
        <v>3483293.5558973323</v>
      </c>
      <c r="H61" s="97">
        <f t="shared" si="26"/>
        <v>3650491.6465804055</v>
      </c>
      <c r="I61" s="97">
        <f t="shared" si="26"/>
        <v>4173074.2362990328</v>
      </c>
      <c r="J61" s="97">
        <f t="shared" si="26"/>
        <v>3650491.6465804055</v>
      </c>
      <c r="K61" s="97">
        <f t="shared" si="26"/>
        <v>4695656.8260176601</v>
      </c>
      <c r="L61" s="97">
        <f t="shared" si="26"/>
        <v>5416055.7058963832</v>
      </c>
      <c r="M61" s="97">
        <f t="shared" si="26"/>
        <v>5959466.7178718019</v>
      </c>
      <c r="N61" s="97">
        <f t="shared" si="26"/>
        <v>4872644.6939209616</v>
      </c>
      <c r="O61" s="97">
        <f t="shared" si="26"/>
        <v>5959466.7178718019</v>
      </c>
      <c r="P61" s="117"/>
      <c r="Q61" s="117"/>
      <c r="R61" s="117"/>
      <c r="S61" s="117"/>
      <c r="T61" s="117"/>
      <c r="U61" s="117"/>
      <c r="V61" s="117"/>
      <c r="W61" s="117"/>
    </row>
    <row r="62" spans="1:31">
      <c r="B62" s="71" t="s">
        <v>114</v>
      </c>
      <c r="C62" s="50">
        <f>SUM(C60:C61)</f>
        <v>-1494666.6666666665</v>
      </c>
      <c r="D62" s="50">
        <f>SUM(D60:D61)</f>
        <v>2984646.0466238335</v>
      </c>
      <c r="E62" s="50">
        <f>SUM(E60:E61)</f>
        <v>2984646.0466238335</v>
      </c>
      <c r="F62" s="50">
        <f t="shared" ref="F62:O62" si="27">SUM(F60:F61)</f>
        <v>2485998.5373503324</v>
      </c>
      <c r="G62" s="50">
        <f t="shared" si="27"/>
        <v>3483293.5558973323</v>
      </c>
      <c r="H62" s="50">
        <f t="shared" si="27"/>
        <v>3650491.6465804055</v>
      </c>
      <c r="I62" s="50">
        <f t="shared" si="27"/>
        <v>4173074.2362990328</v>
      </c>
      <c r="J62" s="50">
        <f t="shared" si="27"/>
        <v>3650491.6465804055</v>
      </c>
      <c r="K62" s="50">
        <f t="shared" si="27"/>
        <v>4695656.8260176601</v>
      </c>
      <c r="L62" s="50">
        <f t="shared" si="27"/>
        <v>5416055.7058963832</v>
      </c>
      <c r="M62" s="50">
        <f t="shared" si="27"/>
        <v>5959466.7178718019</v>
      </c>
      <c r="N62" s="50">
        <f t="shared" si="27"/>
        <v>4872644.6939209616</v>
      </c>
      <c r="O62" s="50">
        <f t="shared" si="27"/>
        <v>5959466.7178718019</v>
      </c>
      <c r="P62" s="117"/>
      <c r="Q62" s="117"/>
      <c r="R62" s="117"/>
      <c r="S62" s="117"/>
      <c r="T62" s="117"/>
      <c r="U62" s="117"/>
      <c r="V62" s="117"/>
      <c r="W62" s="117"/>
    </row>
    <row r="63" spans="1:31">
      <c r="B63" s="71"/>
      <c r="P63" s="117"/>
      <c r="Q63" s="117"/>
      <c r="R63" s="117"/>
      <c r="S63" s="117"/>
      <c r="T63" s="117"/>
      <c r="U63" s="117"/>
      <c r="V63" s="117"/>
      <c r="W63" s="117"/>
    </row>
    <row r="64" spans="1:31">
      <c r="B64" s="55" t="s">
        <v>121</v>
      </c>
      <c r="C64" s="129"/>
      <c r="P64" s="117"/>
      <c r="Q64" s="117"/>
      <c r="R64" s="117"/>
      <c r="S64" s="117"/>
      <c r="T64" s="117"/>
      <c r="U64" s="117"/>
      <c r="V64" s="117"/>
      <c r="W64" s="117"/>
    </row>
    <row r="65" spans="2:23">
      <c r="B65" s="71"/>
      <c r="C65" s="130"/>
      <c r="P65" s="117"/>
      <c r="Q65" s="117"/>
      <c r="R65" s="117"/>
      <c r="S65" s="117"/>
      <c r="T65" s="117"/>
      <c r="U65" s="117"/>
      <c r="V65" s="117"/>
      <c r="W65" s="117"/>
    </row>
    <row r="66" spans="2:23">
      <c r="B66" s="71" t="s">
        <v>116</v>
      </c>
      <c r="D66" s="118">
        <f>IRR($C$62:D62)</f>
        <v>0.9968639919427964</v>
      </c>
      <c r="E66" s="118">
        <f>IRR($C$62:E62)</f>
        <v>1.7286719916142652</v>
      </c>
      <c r="F66" s="118">
        <f>IRR($C$62:F62)</f>
        <v>1.8877937462127998</v>
      </c>
      <c r="G66" s="118">
        <f>IRR($C$62:G62)</f>
        <v>1.9539072479159612</v>
      </c>
      <c r="H66" s="118">
        <f>IRR($C$62:H62)</f>
        <v>1.9754653821475912</v>
      </c>
      <c r="I66" s="118">
        <f>IRR($C$62:I62)</f>
        <v>1.9834408546242699</v>
      </c>
      <c r="J66" s="118">
        <f>IRR($C$62:J62)</f>
        <v>1.9857415787502797</v>
      </c>
      <c r="K66" s="118">
        <f>IRR($C$62:K62)</f>
        <v>1.9867264780662892</v>
      </c>
      <c r="L66" s="118">
        <f>IRR($C$62:L62)</f>
        <v>1.987105655923266</v>
      </c>
      <c r="M66" s="118">
        <f>IRR($C$62:M62)</f>
        <v>1.9872451426007625</v>
      </c>
      <c r="N66" s="118">
        <f>IRR($C$62:N62)</f>
        <v>1.9872833014126705</v>
      </c>
      <c r="O66" s="118">
        <f>IRR($C$62:O62)</f>
        <v>1.9872989215468415</v>
      </c>
      <c r="P66" s="117"/>
      <c r="Q66" s="117"/>
      <c r="R66" s="117"/>
      <c r="S66" s="117"/>
      <c r="T66" s="117"/>
      <c r="U66" s="117"/>
      <c r="V66" s="117"/>
      <c r="W66" s="117"/>
    </row>
    <row r="67" spans="2:23" hidden="1">
      <c r="B67" s="131" t="s">
        <v>117</v>
      </c>
      <c r="D67" s="100">
        <f t="shared" ref="D67:O67" si="28">POWER(1+D66,4)-1</f>
        <v>14.899883524653303</v>
      </c>
      <c r="E67" s="100">
        <f t="shared" si="28"/>
        <v>54.437716398732057</v>
      </c>
      <c r="F67" s="100">
        <f t="shared" si="28"/>
        <v>68.54480379967535</v>
      </c>
      <c r="G67" s="132">
        <f>POWER(1+G66,4)-1</f>
        <v>75.135537433775596</v>
      </c>
      <c r="H67" s="100">
        <f t="shared" si="28"/>
        <v>77.382589575216784</v>
      </c>
      <c r="I67" s="100">
        <f t="shared" si="28"/>
        <v>78.226364973306502</v>
      </c>
      <c r="J67" s="100">
        <f t="shared" si="28"/>
        <v>78.471034100209692</v>
      </c>
      <c r="K67" s="100">
        <f t="shared" si="28"/>
        <v>78.575945663599128</v>
      </c>
      <c r="L67" s="100">
        <f t="shared" si="28"/>
        <v>78.616363402852045</v>
      </c>
      <c r="M67" s="100">
        <f t="shared" si="28"/>
        <v>78.631235591761993</v>
      </c>
      <c r="N67" s="100">
        <f t="shared" si="28"/>
        <v>78.635304479876964</v>
      </c>
      <c r="O67" s="100">
        <f t="shared" si="28"/>
        <v>78.636970105492836</v>
      </c>
      <c r="P67" s="117"/>
      <c r="Q67" s="117"/>
      <c r="R67" s="117"/>
      <c r="S67" s="117"/>
      <c r="T67" s="117"/>
      <c r="U67" s="117"/>
      <c r="V67" s="117"/>
      <c r="W67" s="117"/>
    </row>
    <row r="68" spans="2:23">
      <c r="C68" s="100"/>
      <c r="F68" s="133"/>
      <c r="P68" s="117"/>
      <c r="Q68" s="117"/>
      <c r="R68" s="117"/>
      <c r="S68" s="117"/>
      <c r="T68" s="117"/>
      <c r="U68" s="117"/>
      <c r="V68" s="117"/>
      <c r="W68" s="117"/>
    </row>
    <row r="69" spans="2:23">
      <c r="B69" s="134" t="s">
        <v>118</v>
      </c>
      <c r="C69" s="135">
        <f>IFERROR(IRR(C62:O62),"")</f>
        <v>1.9872989215468415</v>
      </c>
      <c r="P69" s="117"/>
      <c r="Q69" s="117"/>
      <c r="R69" s="117"/>
      <c r="S69" s="117"/>
      <c r="T69" s="117"/>
      <c r="U69" s="117"/>
      <c r="V69" s="117"/>
      <c r="W69" s="117"/>
    </row>
    <row r="70" spans="2:23" ht="3" hidden="1" customHeight="1">
      <c r="B70" s="136" t="s">
        <v>148</v>
      </c>
      <c r="C70" s="137">
        <f>POWER(C69+1,4)-1</f>
        <v>78.636970105492836</v>
      </c>
      <c r="D70" s="112"/>
      <c r="G70" s="118"/>
      <c r="H70" s="118"/>
      <c r="P70" s="117"/>
      <c r="Q70" s="117"/>
      <c r="R70" s="117"/>
      <c r="S70" s="117"/>
      <c r="T70" s="117"/>
      <c r="U70" s="117"/>
      <c r="V70" s="117"/>
      <c r="W70" s="117"/>
    </row>
    <row r="71" spans="2:23">
      <c r="C71" s="50"/>
      <c r="G71" s="118"/>
      <c r="P71" s="117"/>
      <c r="Q71" s="117"/>
      <c r="R71" s="117"/>
      <c r="S71" s="117"/>
      <c r="T71" s="117"/>
      <c r="U71" s="117"/>
      <c r="V71" s="117"/>
      <c r="W71" s="117"/>
    </row>
    <row r="72" spans="2:23">
      <c r="B72" s="55" t="s">
        <v>119</v>
      </c>
      <c r="P72" s="117"/>
      <c r="Q72" s="117"/>
      <c r="R72" s="117"/>
      <c r="S72" s="117"/>
      <c r="T72" s="117"/>
      <c r="U72" s="117"/>
      <c r="V72" s="117"/>
      <c r="W72" s="117"/>
    </row>
    <row r="73" spans="2:23">
      <c r="C73" s="41">
        <v>0</v>
      </c>
      <c r="D73" s="120">
        <v>1</v>
      </c>
      <c r="E73" s="120">
        <v>2</v>
      </c>
      <c r="F73" s="120">
        <v>3</v>
      </c>
      <c r="G73" s="120">
        <v>4</v>
      </c>
      <c r="H73" s="120">
        <v>5</v>
      </c>
      <c r="I73" s="120">
        <v>6</v>
      </c>
      <c r="J73" s="120">
        <v>7</v>
      </c>
      <c r="K73" s="120">
        <v>8</v>
      </c>
      <c r="L73" s="120">
        <v>9</v>
      </c>
      <c r="M73" s="120">
        <v>10</v>
      </c>
      <c r="N73" s="120">
        <v>11</v>
      </c>
      <c r="O73" s="120">
        <v>12</v>
      </c>
      <c r="P73" s="117"/>
      <c r="Q73" s="117"/>
      <c r="R73" s="117"/>
      <c r="S73" s="117"/>
      <c r="T73" s="117"/>
      <c r="U73" s="117"/>
      <c r="V73" s="117"/>
      <c r="W73" s="117"/>
    </row>
    <row r="74" spans="2:23">
      <c r="C74" s="125" t="s">
        <v>104</v>
      </c>
      <c r="D74" s="55" t="s">
        <v>101</v>
      </c>
      <c r="E74" s="55" t="s">
        <v>101</v>
      </c>
      <c r="F74" s="55" t="s">
        <v>101</v>
      </c>
      <c r="G74" s="55" t="s">
        <v>101</v>
      </c>
      <c r="H74" s="126" t="s">
        <v>102</v>
      </c>
      <c r="I74" s="126" t="s">
        <v>102</v>
      </c>
      <c r="J74" s="126" t="s">
        <v>102</v>
      </c>
      <c r="K74" s="126" t="s">
        <v>102</v>
      </c>
      <c r="L74" s="126" t="s">
        <v>103</v>
      </c>
      <c r="M74" s="126" t="s">
        <v>103</v>
      </c>
      <c r="N74" s="126" t="s">
        <v>103</v>
      </c>
      <c r="O74" s="126" t="s">
        <v>103</v>
      </c>
      <c r="P74" s="117"/>
      <c r="Q74" s="117"/>
      <c r="R74" s="117"/>
      <c r="S74" s="117"/>
      <c r="T74" s="117"/>
      <c r="U74" s="117"/>
      <c r="V74" s="117"/>
      <c r="W74" s="117"/>
    </row>
    <row r="75" spans="2:23">
      <c r="C75" s="125" t="s">
        <v>178</v>
      </c>
      <c r="D75" s="54" t="s">
        <v>93</v>
      </c>
      <c r="E75" s="54" t="s">
        <v>94</v>
      </c>
      <c r="F75" s="54" t="s">
        <v>95</v>
      </c>
      <c r="G75" s="54" t="s">
        <v>96</v>
      </c>
      <c r="H75" s="127" t="s">
        <v>97</v>
      </c>
      <c r="I75" s="127" t="s">
        <v>98</v>
      </c>
      <c r="J75" s="127" t="s">
        <v>99</v>
      </c>
      <c r="K75" s="127" t="s">
        <v>100</v>
      </c>
      <c r="L75" s="127" t="s">
        <v>174</v>
      </c>
      <c r="M75" s="127" t="s">
        <v>175</v>
      </c>
      <c r="N75" s="127" t="s">
        <v>176</v>
      </c>
      <c r="O75" s="127" t="s">
        <v>177</v>
      </c>
      <c r="P75" s="117"/>
      <c r="Q75" s="117"/>
      <c r="R75" s="117"/>
      <c r="S75" s="117"/>
      <c r="T75" s="117"/>
      <c r="U75" s="117"/>
      <c r="V75" s="117"/>
      <c r="W75" s="117"/>
    </row>
    <row r="76" spans="2:23">
      <c r="B76" s="71" t="s">
        <v>120</v>
      </c>
      <c r="C76" s="50">
        <f>C62</f>
        <v>-1494666.6666666665</v>
      </c>
      <c r="D76" s="50">
        <f>C76+D62</f>
        <v>1489979.379957167</v>
      </c>
      <c r="E76" s="50">
        <f>D76+E62</f>
        <v>4474625.4265810009</v>
      </c>
      <c r="F76" s="50">
        <f>E76+F62</f>
        <v>6960623.9639313333</v>
      </c>
      <c r="G76" s="50">
        <f t="shared" ref="G76:O76" si="29">F76+G62</f>
        <v>10443917.519828666</v>
      </c>
      <c r="H76" s="50">
        <f>G76+H62</f>
        <v>14094409.166409072</v>
      </c>
      <c r="I76" s="50">
        <f t="shared" si="29"/>
        <v>18267483.402708106</v>
      </c>
      <c r="J76" s="50">
        <f t="shared" si="29"/>
        <v>21917975.049288511</v>
      </c>
      <c r="K76" s="50">
        <f t="shared" si="29"/>
        <v>26613631.87530617</v>
      </c>
      <c r="L76" s="50">
        <f t="shared" si="29"/>
        <v>32029687.581202552</v>
      </c>
      <c r="M76" s="50">
        <f t="shared" si="29"/>
        <v>37989154.299074352</v>
      </c>
      <c r="N76" s="50">
        <f t="shared" si="29"/>
        <v>42861798.992995314</v>
      </c>
      <c r="O76" s="50">
        <f t="shared" si="29"/>
        <v>48821265.710867114</v>
      </c>
      <c r="P76" s="117"/>
      <c r="Q76" s="117"/>
      <c r="R76" s="117"/>
      <c r="S76" s="117"/>
      <c r="T76" s="117"/>
      <c r="U76" s="117"/>
      <c r="V76" s="117"/>
      <c r="W76" s="117"/>
    </row>
    <row r="77" spans="2:23">
      <c r="D77" s="119">
        <f>IF(AND(C76&lt;0,D76&gt;0),C73+ABS(C76/D62),"")</f>
        <v>0.50078523326322089</v>
      </c>
      <c r="E77" s="119" t="str">
        <f>IF(AND(D76&lt;0,E76&gt;0),D73+ABS(D76/E62),"")</f>
        <v/>
      </c>
      <c r="F77" s="119" t="str">
        <f t="shared" ref="F77" si="30">IF(AND(E76&lt;0,F76&gt;0),E73+ABS(E76/F62),"")</f>
        <v/>
      </c>
      <c r="G77" s="119" t="str">
        <f t="shared" ref="G77" si="31">IF(AND(F76&lt;0,G76&gt;0),F73+ABS(F76/G62),"")</f>
        <v/>
      </c>
      <c r="H77" s="119" t="str">
        <f t="shared" ref="H77" si="32">IF(AND(G76&lt;0,H76&gt;0),G73+ABS(G76/H62),"")</f>
        <v/>
      </c>
      <c r="I77" s="119" t="str">
        <f t="shared" ref="I77" si="33">IF(AND(H76&lt;0,I76&gt;0),H73+ABS(H76/I62),"")</f>
        <v/>
      </c>
      <c r="J77" s="119" t="str">
        <f t="shared" ref="J77" si="34">IF(AND(I76&lt;0,J76&gt;0),I73+ABS(I76/J62),"")</f>
        <v/>
      </c>
      <c r="K77" s="119" t="str">
        <f t="shared" ref="K77" si="35">IF(AND(J76&lt;0,K76&gt;0),J73+ABS(J76/K62),"")</f>
        <v/>
      </c>
      <c r="L77" s="119" t="str">
        <f t="shared" ref="L77" si="36">IF(AND(K76&lt;0,L76&gt;0),K73+ABS(K76/L62),"")</f>
        <v/>
      </c>
      <c r="M77" s="119" t="str">
        <f t="shared" ref="M77" si="37">IF(AND(L76&lt;0,M76&gt;0),L73+ABS(L76/M62),"")</f>
        <v/>
      </c>
      <c r="N77" s="119" t="str">
        <f t="shared" ref="N77" si="38">IF(AND(M76&lt;0,N76&gt;0),M73+ABS(M76/N62),"")</f>
        <v/>
      </c>
      <c r="O77" s="119" t="str">
        <f t="shared" ref="O77" si="39">IF(AND(N76&lt;0,O76&gt;0),N73+ABS(N76/O62),"")</f>
        <v/>
      </c>
      <c r="P77" s="117"/>
      <c r="Q77" s="117"/>
      <c r="R77" s="117"/>
      <c r="S77" s="117"/>
      <c r="T77" s="117"/>
      <c r="U77" s="117"/>
      <c r="V77" s="117"/>
      <c r="W77" s="117"/>
    </row>
    <row r="79" spans="2:23" ht="33">
      <c r="B79" s="195" t="s">
        <v>179</v>
      </c>
      <c r="C79" s="138">
        <f>ROUNDUP(D77,0)</f>
        <v>1</v>
      </c>
      <c r="G79" s="130"/>
      <c r="H79" s="139"/>
      <c r="L79" s="129"/>
      <c r="M79" s="129"/>
    </row>
    <row r="80" spans="2:23">
      <c r="B80" s="105" t="s">
        <v>180</v>
      </c>
      <c r="C80" s="140">
        <f>C79/4</f>
        <v>0.25</v>
      </c>
      <c r="G80" s="130"/>
      <c r="H80" s="139"/>
    </row>
    <row r="81" spans="7:13">
      <c r="G81" s="130"/>
      <c r="H81" s="139"/>
      <c r="L81" s="100"/>
    </row>
    <row r="82" spans="7:13">
      <c r="G82" s="130"/>
      <c r="H82" s="139"/>
    </row>
    <row r="83" spans="7:13">
      <c r="H83" s="139"/>
      <c r="L83" s="129"/>
      <c r="M83" s="129"/>
    </row>
    <row r="85" spans="7:13">
      <c r="L85" s="100"/>
    </row>
    <row r="97" spans="2:12">
      <c r="C97" s="267" t="s">
        <v>77</v>
      </c>
      <c r="D97" s="267"/>
      <c r="E97" s="267"/>
      <c r="F97" s="267"/>
      <c r="G97" s="267"/>
      <c r="H97" s="267"/>
      <c r="I97" s="267"/>
    </row>
    <row r="99" spans="2:12">
      <c r="C99" s="55" t="s">
        <v>123</v>
      </c>
    </row>
    <row r="101" spans="2:12">
      <c r="B101" s="141">
        <v>25000</v>
      </c>
      <c r="D101" s="134" t="s">
        <v>126</v>
      </c>
      <c r="E101" s="271" t="s">
        <v>84</v>
      </c>
      <c r="F101" s="272"/>
      <c r="G101" s="272"/>
      <c r="H101" s="272"/>
      <c r="I101" s="272"/>
      <c r="J101" s="272"/>
      <c r="K101" s="273"/>
    </row>
    <row r="102" spans="2:12">
      <c r="C102" s="142"/>
      <c r="D102" s="143">
        <f>C69</f>
        <v>1.9872989215468415</v>
      </c>
      <c r="E102" s="144">
        <f t="shared" ref="E102:F102" si="40">F102-$B$101</f>
        <v>125000</v>
      </c>
      <c r="F102" s="144">
        <f t="shared" si="40"/>
        <v>150000</v>
      </c>
      <c r="G102" s="144">
        <f>H102-$B$101</f>
        <v>175000</v>
      </c>
      <c r="H102" s="144">
        <v>200000</v>
      </c>
      <c r="I102" s="144">
        <f>H102+$B$101</f>
        <v>225000</v>
      </c>
      <c r="J102" s="144">
        <f t="shared" ref="J102:K102" si="41">I102+$B$101</f>
        <v>250000</v>
      </c>
      <c r="K102" s="145">
        <f t="shared" si="41"/>
        <v>275000</v>
      </c>
    </row>
    <row r="103" spans="2:12" ht="27.6" customHeight="1">
      <c r="C103" s="268" t="s">
        <v>165</v>
      </c>
      <c r="D103" s="146">
        <v>1</v>
      </c>
      <c r="E103" s="147">
        <f t="dataTable" ref="E103:K105" dt2D="1" dtr="1" r1="D7" r2="C21" ca="1"/>
        <v>3.9385243320844801</v>
      </c>
      <c r="F103" s="148">
        <v>3.2316343364032347</v>
      </c>
      <c r="G103" s="148">
        <v>2.5109961801477101</v>
      </c>
      <c r="H103" s="148">
        <v>1.7599756772017621</v>
      </c>
      <c r="I103" s="148">
        <v>-4.9380325993507834E-2</v>
      </c>
      <c r="J103" s="148" t="str">
        <v/>
      </c>
      <c r="K103" s="149" t="str">
        <v/>
      </c>
    </row>
    <row r="104" spans="2:12" ht="27.6" customHeight="1">
      <c r="C104" s="269"/>
      <c r="D104" s="150">
        <v>2</v>
      </c>
      <c r="E104" s="151">
        <v>4.0366371404886259</v>
      </c>
      <c r="F104" s="152">
        <v>3.3528939259882442</v>
      </c>
      <c r="G104" s="152">
        <v>2.6692923929040542</v>
      </c>
      <c r="H104" s="152">
        <v>1.9872989215468415</v>
      </c>
      <c r="I104" s="152">
        <v>1.3142063107078501</v>
      </c>
      <c r="J104" s="152">
        <v>0.69054364350258091</v>
      </c>
      <c r="K104" s="153">
        <v>0.24021123839544334</v>
      </c>
      <c r="L104" s="41" t="s">
        <v>181</v>
      </c>
    </row>
    <row r="105" spans="2:12" ht="27.6" customHeight="1">
      <c r="C105" s="270"/>
      <c r="D105" s="154">
        <v>3</v>
      </c>
      <c r="E105" s="155">
        <v>4.1056877651956754</v>
      </c>
      <c r="F105" s="156">
        <v>3.4340162153767668</v>
      </c>
      <c r="G105" s="156">
        <v>2.7678508185280042</v>
      </c>
      <c r="H105" s="156">
        <v>2.1130503519795707</v>
      </c>
      <c r="I105" s="156">
        <v>1.4856635414089863</v>
      </c>
      <c r="J105" s="156">
        <v>0.93085445888791707</v>
      </c>
      <c r="K105" s="157">
        <v>0.52612653791121011</v>
      </c>
      <c r="L105" s="41" t="s">
        <v>134</v>
      </c>
    </row>
    <row r="107" spans="2:12" hidden="1">
      <c r="C107" s="55" t="s">
        <v>124</v>
      </c>
    </row>
    <row r="108" spans="2:12" hidden="1"/>
    <row r="109" spans="2:12" hidden="1">
      <c r="D109" s="134" t="s">
        <v>125</v>
      </c>
      <c r="E109" s="271" t="s">
        <v>84</v>
      </c>
      <c r="F109" s="272"/>
      <c r="G109" s="272"/>
      <c r="H109" s="272"/>
      <c r="I109" s="272"/>
      <c r="J109" s="272"/>
      <c r="K109" s="273"/>
    </row>
    <row r="110" spans="2:12" hidden="1">
      <c r="C110" s="142"/>
      <c r="D110" s="158">
        <f>C79</f>
        <v>1</v>
      </c>
      <c r="E110" s="144">
        <f t="shared" ref="E110:F110" si="42">F110-$B$101</f>
        <v>125000</v>
      </c>
      <c r="F110" s="144">
        <f t="shared" si="42"/>
        <v>150000</v>
      </c>
      <c r="G110" s="144">
        <f>H110-$B$101</f>
        <v>175000</v>
      </c>
      <c r="H110" s="144">
        <v>200000</v>
      </c>
      <c r="I110" s="144">
        <f>H110+$B$101</f>
        <v>225000</v>
      </c>
      <c r="J110" s="144">
        <f t="shared" ref="J110:K110" si="43">I110+$B$101</f>
        <v>250000</v>
      </c>
      <c r="K110" s="145">
        <f t="shared" si="43"/>
        <v>275000</v>
      </c>
    </row>
    <row r="111" spans="2:12" hidden="1">
      <c r="C111" s="268" t="s">
        <v>122</v>
      </c>
      <c r="D111" s="146">
        <v>1</v>
      </c>
      <c r="E111" s="159">
        <f t="dataTable" ref="E111:K113" dt2D="1" dtr="1" r1="D7" r2="C21"/>
        <v>1</v>
      </c>
      <c r="F111" s="160">
        <v>1</v>
      </c>
      <c r="G111" s="160">
        <v>1</v>
      </c>
      <c r="H111" s="160">
        <v>1</v>
      </c>
      <c r="I111" s="160">
        <v>1</v>
      </c>
      <c r="J111" s="160" t="e">
        <v>#VALUE!</v>
      </c>
      <c r="K111" s="161" t="e">
        <v>#VALUE!</v>
      </c>
    </row>
    <row r="112" spans="2:12" hidden="1">
      <c r="C112" s="269"/>
      <c r="D112" s="150">
        <v>2</v>
      </c>
      <c r="E112" s="162">
        <v>1</v>
      </c>
      <c r="F112" s="163">
        <v>1</v>
      </c>
      <c r="G112" s="163">
        <v>1</v>
      </c>
      <c r="H112" s="163">
        <v>1</v>
      </c>
      <c r="I112" s="163">
        <v>1</v>
      </c>
      <c r="J112" s="163" t="e">
        <v>#VALUE!</v>
      </c>
      <c r="K112" s="164" t="e">
        <v>#VALUE!</v>
      </c>
      <c r="L112" s="41" t="s">
        <v>135</v>
      </c>
    </row>
    <row r="113" spans="2:23" hidden="1">
      <c r="C113" s="270"/>
      <c r="D113" s="154">
        <v>3</v>
      </c>
      <c r="E113" s="165">
        <v>1</v>
      </c>
      <c r="F113" s="166">
        <v>1</v>
      </c>
      <c r="G113" s="166">
        <v>1</v>
      </c>
      <c r="H113" s="166">
        <v>1</v>
      </c>
      <c r="I113" s="166">
        <v>1</v>
      </c>
      <c r="J113" s="166" t="e">
        <v>#VALUE!</v>
      </c>
      <c r="K113" s="167" t="e">
        <v>#VALUE!</v>
      </c>
      <c r="L113" s="41" t="s">
        <v>136</v>
      </c>
    </row>
    <row r="115" spans="2:23">
      <c r="C115" s="267" t="s">
        <v>127</v>
      </c>
      <c r="D115" s="267"/>
      <c r="E115" s="267"/>
      <c r="F115" s="267"/>
      <c r="G115" s="267"/>
      <c r="H115" s="267"/>
      <c r="I115" s="267"/>
    </row>
    <row r="117" spans="2:23">
      <c r="C117" s="55" t="s">
        <v>128</v>
      </c>
    </row>
    <row r="119" spans="2:23">
      <c r="D119" s="55" t="s">
        <v>101</v>
      </c>
      <c r="E119" s="55" t="s">
        <v>101</v>
      </c>
      <c r="F119" s="55" t="s">
        <v>101</v>
      </c>
      <c r="G119" s="55" t="s">
        <v>101</v>
      </c>
      <c r="H119" s="126" t="s">
        <v>102</v>
      </c>
      <c r="I119" s="126" t="s">
        <v>102</v>
      </c>
      <c r="J119" s="126" t="s">
        <v>102</v>
      </c>
      <c r="K119" s="126" t="s">
        <v>102</v>
      </c>
      <c r="L119" s="126" t="s">
        <v>103</v>
      </c>
      <c r="M119" s="126" t="s">
        <v>103</v>
      </c>
      <c r="N119" s="126" t="s">
        <v>103</v>
      </c>
      <c r="O119" s="126" t="s">
        <v>103</v>
      </c>
      <c r="P119" s="117"/>
      <c r="Q119" s="117"/>
      <c r="R119" s="117"/>
      <c r="S119" s="117"/>
      <c r="T119" s="117"/>
      <c r="U119" s="117"/>
      <c r="V119" s="117"/>
      <c r="W119" s="117"/>
    </row>
    <row r="120" spans="2:23">
      <c r="C120" s="168">
        <v>1</v>
      </c>
      <c r="D120" s="54" t="s">
        <v>93</v>
      </c>
      <c r="E120" s="54" t="s">
        <v>94</v>
      </c>
      <c r="F120" s="54" t="s">
        <v>95</v>
      </c>
      <c r="G120" s="54" t="s">
        <v>96</v>
      </c>
      <c r="H120" s="127" t="s">
        <v>97</v>
      </c>
      <c r="I120" s="127" t="s">
        <v>98</v>
      </c>
      <c r="J120" s="127" t="s">
        <v>99</v>
      </c>
      <c r="K120" s="127" t="s">
        <v>100</v>
      </c>
      <c r="L120" s="127" t="s">
        <v>174</v>
      </c>
      <c r="M120" s="127" t="s">
        <v>175</v>
      </c>
      <c r="N120" s="127" t="s">
        <v>176</v>
      </c>
      <c r="O120" s="127" t="s">
        <v>177</v>
      </c>
      <c r="P120" s="117"/>
      <c r="Q120" s="117"/>
      <c r="R120" s="117"/>
      <c r="S120" s="117"/>
      <c r="T120" s="117"/>
      <c r="U120" s="117"/>
      <c r="V120" s="117"/>
      <c r="W120" s="117"/>
    </row>
    <row r="121" spans="2:23">
      <c r="C121" s="128">
        <f>_xlfn.XLOOKUP(C120,D57:W57,D66:W66)</f>
        <v>0.9968639919427964</v>
      </c>
      <c r="D121" s="169">
        <v>1</v>
      </c>
      <c r="E121" s="170">
        <v>2</v>
      </c>
      <c r="F121" s="170">
        <v>3</v>
      </c>
      <c r="G121" s="170">
        <v>4</v>
      </c>
      <c r="H121" s="170">
        <v>5</v>
      </c>
      <c r="I121" s="170">
        <v>6</v>
      </c>
      <c r="J121" s="170">
        <v>7</v>
      </c>
      <c r="K121" s="170">
        <v>8</v>
      </c>
      <c r="L121" s="170">
        <v>9</v>
      </c>
      <c r="M121" s="170">
        <v>10</v>
      </c>
      <c r="N121" s="170">
        <v>11</v>
      </c>
      <c r="O121" s="171">
        <v>12</v>
      </c>
      <c r="P121" s="117"/>
      <c r="Q121" s="117"/>
      <c r="R121" s="117"/>
      <c r="S121" s="117"/>
      <c r="T121" s="117"/>
      <c r="U121" s="117"/>
      <c r="V121" s="117"/>
      <c r="W121" s="117"/>
    </row>
    <row r="122" spans="2:23">
      <c r="B122" s="268" t="s">
        <v>165</v>
      </c>
      <c r="C122" s="146">
        <v>1</v>
      </c>
      <c r="D122" s="172">
        <f t="dataTable" ref="D122:O124" dt2D="1" dtr="1" r1="C120" r2="C21" ca="1"/>
        <v>0.9968639919427964</v>
      </c>
      <c r="E122" s="173">
        <v>1.6294171500432504</v>
      </c>
      <c r="F122" s="173">
        <v>1.7028910663864245</v>
      </c>
      <c r="G122" s="173">
        <v>1.7404005651645038</v>
      </c>
      <c r="H122" s="173">
        <v>1.7539754610784173</v>
      </c>
      <c r="I122" s="173">
        <v>1.7587777033601588</v>
      </c>
      <c r="J122" s="173">
        <v>1.7593470286247275</v>
      </c>
      <c r="K122" s="173">
        <v>1.7597618255933258</v>
      </c>
      <c r="L122" s="173">
        <v>1.7599164254471367</v>
      </c>
      <c r="M122" s="173">
        <v>1.7599724079151744</v>
      </c>
      <c r="N122" s="173">
        <v>1.7599720653272457</v>
      </c>
      <c r="O122" s="174">
        <v>1.7599756772017621</v>
      </c>
      <c r="P122" s="117"/>
      <c r="Q122" s="117"/>
      <c r="R122" s="117"/>
      <c r="S122" s="117"/>
      <c r="T122" s="117"/>
      <c r="U122" s="117"/>
      <c r="V122" s="117"/>
      <c r="W122" s="117"/>
    </row>
    <row r="123" spans="2:23">
      <c r="B123" s="269"/>
      <c r="C123" s="150">
        <v>2</v>
      </c>
      <c r="D123" s="151">
        <v>0.9968639919427964</v>
      </c>
      <c r="E123" s="152">
        <v>1.7286719916142652</v>
      </c>
      <c r="F123" s="152">
        <v>1.8877937462127998</v>
      </c>
      <c r="G123" s="152">
        <v>1.9539072479159612</v>
      </c>
      <c r="H123" s="152">
        <v>1.9754653821475912</v>
      </c>
      <c r="I123" s="152">
        <v>1.9834408546242699</v>
      </c>
      <c r="J123" s="152">
        <v>1.9857415787502797</v>
      </c>
      <c r="K123" s="152">
        <v>1.9867264780662892</v>
      </c>
      <c r="L123" s="152">
        <v>1.987105655923266</v>
      </c>
      <c r="M123" s="152">
        <v>1.9872451426007625</v>
      </c>
      <c r="N123" s="152">
        <v>1.9872833014126705</v>
      </c>
      <c r="O123" s="153">
        <v>1.9872989215468415</v>
      </c>
      <c r="P123" s="117"/>
      <c r="Q123" s="117"/>
      <c r="R123" s="117"/>
      <c r="S123" s="117"/>
      <c r="T123" s="117"/>
      <c r="U123" s="117"/>
      <c r="V123" s="117"/>
      <c r="W123" s="117"/>
    </row>
    <row r="124" spans="2:23">
      <c r="B124" s="270"/>
      <c r="C124" s="154">
        <v>3</v>
      </c>
      <c r="D124" s="155">
        <v>0.9968639919427964</v>
      </c>
      <c r="E124" s="156">
        <v>1.8225340523929519</v>
      </c>
      <c r="F124" s="156">
        <v>1.9968487583069443</v>
      </c>
      <c r="G124" s="156">
        <v>2.0709779062055116</v>
      </c>
      <c r="H124" s="156">
        <v>2.0991078332454745</v>
      </c>
      <c r="I124" s="156">
        <v>2.108570059637052</v>
      </c>
      <c r="J124" s="156">
        <v>2.1113091377495117</v>
      </c>
      <c r="K124" s="156">
        <v>2.1124219853083255</v>
      </c>
      <c r="L124" s="156">
        <v>2.1128450547525111</v>
      </c>
      <c r="M124" s="156">
        <v>2.1129892755127235</v>
      </c>
      <c r="N124" s="156">
        <v>2.1130328508819725</v>
      </c>
      <c r="O124" s="157">
        <v>2.1130503519795707</v>
      </c>
      <c r="P124" s="117"/>
      <c r="Q124" s="117"/>
      <c r="R124" s="117"/>
      <c r="S124" s="117"/>
      <c r="T124" s="117"/>
      <c r="U124" s="117"/>
      <c r="V124" s="117"/>
      <c r="W124" s="117"/>
    </row>
    <row r="143" spans="3:3">
      <c r="C143" s="55" t="s">
        <v>129</v>
      </c>
    </row>
    <row r="145" spans="2:23">
      <c r="D145" s="55" t="s">
        <v>101</v>
      </c>
      <c r="E145" s="55" t="s">
        <v>101</v>
      </c>
      <c r="F145" s="55" t="s">
        <v>101</v>
      </c>
      <c r="G145" s="55" t="s">
        <v>101</v>
      </c>
      <c r="H145" s="126" t="s">
        <v>102</v>
      </c>
      <c r="I145" s="126" t="s">
        <v>102</v>
      </c>
      <c r="J145" s="126" t="s">
        <v>102</v>
      </c>
      <c r="K145" s="126" t="s">
        <v>102</v>
      </c>
      <c r="L145" s="126" t="s">
        <v>103</v>
      </c>
      <c r="M145" s="126" t="s">
        <v>103</v>
      </c>
      <c r="N145" s="126" t="s">
        <v>103</v>
      </c>
      <c r="O145" s="175" t="s">
        <v>103</v>
      </c>
      <c r="P145" s="117"/>
      <c r="Q145" s="117"/>
      <c r="R145" s="117"/>
      <c r="S145" s="117"/>
      <c r="T145" s="117"/>
      <c r="U145" s="117"/>
      <c r="V145" s="117"/>
      <c r="W145" s="117"/>
    </row>
    <row r="146" spans="2:23">
      <c r="C146" s="168">
        <v>1</v>
      </c>
      <c r="D146" s="54" t="s">
        <v>93</v>
      </c>
      <c r="E146" s="54" t="s">
        <v>94</v>
      </c>
      <c r="F146" s="54" t="s">
        <v>95</v>
      </c>
      <c r="G146" s="54" t="s">
        <v>96</v>
      </c>
      <c r="H146" s="127" t="s">
        <v>97</v>
      </c>
      <c r="I146" s="127" t="s">
        <v>98</v>
      </c>
      <c r="J146" s="127" t="s">
        <v>99</v>
      </c>
      <c r="K146" s="127" t="s">
        <v>100</v>
      </c>
      <c r="L146" s="127" t="s">
        <v>174</v>
      </c>
      <c r="M146" s="127" t="s">
        <v>175</v>
      </c>
      <c r="N146" s="127" t="s">
        <v>176</v>
      </c>
      <c r="O146" s="127" t="s">
        <v>177</v>
      </c>
      <c r="P146" s="117"/>
      <c r="Q146" s="117"/>
      <c r="R146" s="117"/>
      <c r="S146" s="117"/>
      <c r="T146" s="117"/>
      <c r="U146" s="117"/>
      <c r="V146" s="117"/>
      <c r="W146" s="117"/>
    </row>
    <row r="147" spans="2:23">
      <c r="C147" s="176">
        <f>_xlfn.XLOOKUP(C146,$D$35:$W$35,$D$52:$W$52)</f>
        <v>2984646.0466238335</v>
      </c>
      <c r="D147" s="169">
        <v>1</v>
      </c>
      <c r="E147" s="170">
        <v>2</v>
      </c>
      <c r="F147" s="170">
        <v>3</v>
      </c>
      <c r="G147" s="170">
        <v>4</v>
      </c>
      <c r="H147" s="170">
        <v>5</v>
      </c>
      <c r="I147" s="170">
        <v>6</v>
      </c>
      <c r="J147" s="170">
        <v>7</v>
      </c>
      <c r="K147" s="170">
        <v>8</v>
      </c>
      <c r="L147" s="170">
        <v>9</v>
      </c>
      <c r="M147" s="170">
        <v>10</v>
      </c>
      <c r="N147" s="170">
        <v>11</v>
      </c>
      <c r="O147" s="171">
        <v>12</v>
      </c>
      <c r="P147" s="117"/>
      <c r="Q147" s="117"/>
      <c r="R147" s="117"/>
      <c r="S147" s="117"/>
      <c r="T147" s="117"/>
      <c r="U147" s="117"/>
      <c r="V147" s="117"/>
      <c r="W147" s="117"/>
    </row>
    <row r="148" spans="2:23">
      <c r="B148" s="268" t="s">
        <v>122</v>
      </c>
      <c r="C148" s="146">
        <v>1</v>
      </c>
      <c r="D148" s="177">
        <f t="dataTable" ref="D148:O150" dt2D="1" dtr="1" r1="C146" r2="C21" ca="1"/>
        <v>2984646.0466238335</v>
      </c>
      <c r="E148" s="177">
        <v>2485998.5373503324</v>
      </c>
      <c r="F148" s="177">
        <v>990056.00952983159</v>
      </c>
      <c r="G148" s="177">
        <v>1488703.5188033325</v>
      </c>
      <c r="H148" s="177">
        <v>1560161.2877058915</v>
      </c>
      <c r="I148" s="177">
        <v>1560161.2877058915</v>
      </c>
      <c r="J148" s="177">
        <v>514996.10826863674</v>
      </c>
      <c r="K148" s="177">
        <v>1037578.6979872638</v>
      </c>
      <c r="L148" s="177">
        <v>1068767.6100930099</v>
      </c>
      <c r="M148" s="177">
        <v>1068767.6100930099</v>
      </c>
      <c r="N148" s="177">
        <v>-18054.413857832085</v>
      </c>
      <c r="O148" s="178">
        <v>525356.59811758972</v>
      </c>
      <c r="P148" s="117"/>
      <c r="Q148" s="117"/>
      <c r="R148" s="117"/>
      <c r="S148" s="117"/>
      <c r="T148" s="117"/>
      <c r="U148" s="117"/>
      <c r="V148" s="117"/>
      <c r="W148" s="117"/>
    </row>
    <row r="149" spans="2:23">
      <c r="B149" s="269"/>
      <c r="C149" s="150">
        <v>2</v>
      </c>
      <c r="D149" s="179">
        <v>2984646.0466238335</v>
      </c>
      <c r="E149" s="179">
        <v>2984646.0466238335</v>
      </c>
      <c r="F149" s="179">
        <v>2485998.5373503324</v>
      </c>
      <c r="G149" s="179">
        <v>3483293.5558973323</v>
      </c>
      <c r="H149" s="179">
        <v>3650491.6465804055</v>
      </c>
      <c r="I149" s="179">
        <v>4173074.2362990328</v>
      </c>
      <c r="J149" s="179">
        <v>3650491.6465804055</v>
      </c>
      <c r="K149" s="179">
        <v>4695656.8260176601</v>
      </c>
      <c r="L149" s="179">
        <v>5416055.7058963832</v>
      </c>
      <c r="M149" s="179">
        <v>5959466.7178718019</v>
      </c>
      <c r="N149" s="179">
        <v>4872644.6939209616</v>
      </c>
      <c r="O149" s="180">
        <v>5959466.7178718019</v>
      </c>
      <c r="P149" s="117"/>
      <c r="Q149" s="117"/>
      <c r="R149" s="117"/>
      <c r="S149" s="117"/>
      <c r="T149" s="117"/>
      <c r="U149" s="117"/>
      <c r="V149" s="117"/>
      <c r="W149" s="117"/>
    </row>
    <row r="150" spans="2:23">
      <c r="B150" s="270"/>
      <c r="C150" s="154">
        <v>3</v>
      </c>
      <c r="D150" s="181">
        <v>2984646.0466238335</v>
      </c>
      <c r="E150" s="181">
        <v>3483293.5558973323</v>
      </c>
      <c r="F150" s="181">
        <v>2984646.0466238335</v>
      </c>
      <c r="G150" s="181">
        <v>4480588.574444334</v>
      </c>
      <c r="H150" s="181">
        <v>5740822.0054549165</v>
      </c>
      <c r="I150" s="181">
        <v>6263404.5951735415</v>
      </c>
      <c r="J150" s="181">
        <v>5740822.0054549165</v>
      </c>
      <c r="K150" s="181">
        <v>7308569.7746108007</v>
      </c>
      <c r="L150" s="181">
        <v>8676521.7777489126</v>
      </c>
      <c r="M150" s="181">
        <v>9219932.7897243369</v>
      </c>
      <c r="N150" s="181">
        <v>8676521.7777489126</v>
      </c>
      <c r="O150" s="182">
        <v>10850165.825650599</v>
      </c>
      <c r="P150" s="117"/>
      <c r="Q150" s="117"/>
      <c r="R150" s="117"/>
      <c r="S150" s="117"/>
      <c r="T150" s="117"/>
      <c r="U150" s="117"/>
      <c r="V150" s="117"/>
      <c r="W150" s="117"/>
    </row>
    <row r="174" spans="3:23">
      <c r="C174" s="55" t="s">
        <v>130</v>
      </c>
    </row>
    <row r="176" spans="3:23">
      <c r="D176" s="55" t="s">
        <v>101</v>
      </c>
      <c r="E176" s="55" t="s">
        <v>101</v>
      </c>
      <c r="F176" s="55" t="s">
        <v>101</v>
      </c>
      <c r="G176" s="55" t="s">
        <v>101</v>
      </c>
      <c r="H176" s="126" t="s">
        <v>102</v>
      </c>
      <c r="I176" s="126" t="s">
        <v>102</v>
      </c>
      <c r="J176" s="126" t="s">
        <v>102</v>
      </c>
      <c r="K176" s="126" t="s">
        <v>102</v>
      </c>
      <c r="L176" s="126" t="s">
        <v>103</v>
      </c>
      <c r="M176" s="126" t="s">
        <v>103</v>
      </c>
      <c r="N176" s="126" t="s">
        <v>103</v>
      </c>
      <c r="O176" s="175" t="s">
        <v>103</v>
      </c>
      <c r="P176" s="117"/>
      <c r="Q176" s="117"/>
      <c r="R176" s="117"/>
      <c r="S176" s="117"/>
      <c r="T176" s="117"/>
      <c r="U176" s="117"/>
      <c r="V176" s="117"/>
      <c r="W176" s="117"/>
    </row>
    <row r="177" spans="2:23">
      <c r="C177" s="168">
        <v>1</v>
      </c>
      <c r="D177" s="54" t="s">
        <v>93</v>
      </c>
      <c r="E177" s="54" t="s">
        <v>94</v>
      </c>
      <c r="F177" s="54" t="s">
        <v>95</v>
      </c>
      <c r="G177" s="54" t="s">
        <v>96</v>
      </c>
      <c r="H177" s="127" t="s">
        <v>97</v>
      </c>
      <c r="I177" s="127" t="s">
        <v>98</v>
      </c>
      <c r="J177" s="127" t="s">
        <v>99</v>
      </c>
      <c r="K177" s="127" t="s">
        <v>100</v>
      </c>
      <c r="L177" s="127" t="s">
        <v>174</v>
      </c>
      <c r="M177" s="127" t="s">
        <v>175</v>
      </c>
      <c r="N177" s="127" t="s">
        <v>176</v>
      </c>
      <c r="O177" s="127" t="s">
        <v>177</v>
      </c>
      <c r="P177" s="117"/>
      <c r="Q177" s="117"/>
      <c r="R177" s="117"/>
      <c r="S177" s="117"/>
      <c r="T177" s="117"/>
      <c r="U177" s="117"/>
      <c r="V177" s="117"/>
      <c r="W177" s="117"/>
    </row>
    <row r="178" spans="2:23">
      <c r="C178" s="183">
        <f>_xlfn.XLOOKUP(C177,$D$35:$W$35,$D$54:$W$54)</f>
        <v>0.19909458216522888</v>
      </c>
      <c r="D178" s="169">
        <v>1</v>
      </c>
      <c r="E178" s="170">
        <v>2</v>
      </c>
      <c r="F178" s="170">
        <v>3</v>
      </c>
      <c r="G178" s="170">
        <v>4</v>
      </c>
      <c r="H178" s="170">
        <v>5</v>
      </c>
      <c r="I178" s="170">
        <v>6</v>
      </c>
      <c r="J178" s="170">
        <v>7</v>
      </c>
      <c r="K178" s="170">
        <v>8</v>
      </c>
      <c r="L178" s="170">
        <v>9</v>
      </c>
      <c r="M178" s="170">
        <v>10</v>
      </c>
      <c r="N178" s="170">
        <v>11</v>
      </c>
      <c r="O178" s="171">
        <v>12</v>
      </c>
      <c r="P178" s="117"/>
      <c r="Q178" s="117"/>
      <c r="R178" s="117"/>
      <c r="S178" s="117"/>
      <c r="T178" s="117"/>
      <c r="U178" s="117"/>
      <c r="V178" s="117"/>
      <c r="W178" s="117"/>
    </row>
    <row r="179" spans="2:23">
      <c r="B179" s="268" t="s">
        <v>122</v>
      </c>
      <c r="C179" s="146">
        <v>1</v>
      </c>
      <c r="D179" s="184">
        <f t="dataTable" ref="D179:O181" dt2D="1" dtr="1" r1="C177" r2="C21" ca="1"/>
        <v>0.19909458216522888</v>
      </c>
      <c r="E179" s="185">
        <v>0.17336947380762632</v>
      </c>
      <c r="F179" s="185">
        <v>7.994671187738564E-2</v>
      </c>
      <c r="G179" s="185">
        <v>0.11420172458514062</v>
      </c>
      <c r="H179" s="185">
        <v>0.11420172458514054</v>
      </c>
      <c r="I179" s="185">
        <v>0.11420172458514054</v>
      </c>
      <c r="J179" s="185">
        <v>4.1885586646546971E-2</v>
      </c>
      <c r="K179" s="185">
        <v>7.9946711877385654E-2</v>
      </c>
      <c r="L179" s="185">
        <v>7.9106489746960551E-2</v>
      </c>
      <c r="M179" s="185">
        <v>7.9106489746960551E-2</v>
      </c>
      <c r="N179" s="185">
        <v>-1.49354015363909E-3</v>
      </c>
      <c r="O179" s="186">
        <v>4.1045364516121889E-2</v>
      </c>
      <c r="P179" s="117"/>
      <c r="Q179" s="117"/>
      <c r="R179" s="117"/>
      <c r="S179" s="117"/>
      <c r="T179" s="117"/>
      <c r="U179" s="117"/>
      <c r="V179" s="117"/>
      <c r="W179" s="117"/>
    </row>
    <row r="180" spans="2:23">
      <c r="B180" s="269"/>
      <c r="C180" s="150">
        <v>2</v>
      </c>
      <c r="D180" s="187">
        <v>0.19909458216522888</v>
      </c>
      <c r="E180" s="188">
        <v>0.19909458216522888</v>
      </c>
      <c r="F180" s="188">
        <v>0.17336947380762632</v>
      </c>
      <c r="G180" s="188">
        <v>0.22267593149303108</v>
      </c>
      <c r="H180" s="188">
        <v>0.22267593149303117</v>
      </c>
      <c r="I180" s="188">
        <v>0.2443707728746092</v>
      </c>
      <c r="J180" s="188">
        <v>0.22267593149303117</v>
      </c>
      <c r="K180" s="188">
        <v>0.26439678030375818</v>
      </c>
      <c r="L180" s="188">
        <v>0.28209915764476734</v>
      </c>
      <c r="M180" s="188">
        <v>0.29931728572538474</v>
      </c>
      <c r="N180" s="188">
        <v>0.26355655817333307</v>
      </c>
      <c r="O180" s="189">
        <v>0.29931728572538474</v>
      </c>
      <c r="P180" s="117"/>
      <c r="Q180" s="117"/>
      <c r="R180" s="117"/>
      <c r="S180" s="117"/>
      <c r="T180" s="117"/>
      <c r="U180" s="117"/>
      <c r="V180" s="117"/>
      <c r="W180" s="117"/>
    </row>
    <row r="181" spans="2:23">
      <c r="B181" s="270"/>
      <c r="C181" s="154">
        <v>3</v>
      </c>
      <c r="D181" s="190">
        <v>0.19909458216522888</v>
      </c>
      <c r="E181" s="191">
        <v>0.22267593149303108</v>
      </c>
      <c r="F181" s="191">
        <v>0.19909458216522888</v>
      </c>
      <c r="G181" s="191">
        <v>0.26439678030375829</v>
      </c>
      <c r="H181" s="191">
        <v>0.30015750785581002</v>
      </c>
      <c r="I181" s="191">
        <v>0.31618817882741929</v>
      </c>
      <c r="J181" s="191">
        <v>0.30015750785581002</v>
      </c>
      <c r="K181" s="191">
        <v>0.34514681026000421</v>
      </c>
      <c r="L181" s="191">
        <v>0.36975508241882027</v>
      </c>
      <c r="M181" s="191">
        <v>0.38135660187420967</v>
      </c>
      <c r="N181" s="191">
        <v>0.36975508241882027</v>
      </c>
      <c r="O181" s="192">
        <v>0.412398505281873</v>
      </c>
      <c r="P181" s="117"/>
      <c r="Q181" s="117"/>
      <c r="R181" s="117"/>
      <c r="S181" s="117"/>
      <c r="T181" s="117"/>
      <c r="U181" s="117"/>
      <c r="V181" s="117"/>
      <c r="W181" s="117"/>
    </row>
  </sheetData>
  <mergeCells count="11">
    <mergeCell ref="D15:O15"/>
    <mergeCell ref="D9:O9"/>
    <mergeCell ref="B122:B124"/>
    <mergeCell ref="B148:B150"/>
    <mergeCell ref="B179:B181"/>
    <mergeCell ref="C97:I97"/>
    <mergeCell ref="E101:K101"/>
    <mergeCell ref="C103:C105"/>
    <mergeCell ref="E109:K109"/>
    <mergeCell ref="C111:C113"/>
    <mergeCell ref="C115:I115"/>
  </mergeCells>
  <phoneticPr fontId="10" type="noConversion"/>
  <conditionalFormatting sqref="D66:O66">
    <cfRule type="colorScale" priority="16">
      <colorScale>
        <cfvo type="min"/>
        <cfvo type="percentile" val="50"/>
        <cfvo type="max"/>
        <color rgb="FFF8696B"/>
        <color rgb="FFFCFCFF"/>
        <color rgb="FF5A8AC6"/>
      </colorScale>
    </cfRule>
  </conditionalFormatting>
  <conditionalFormatting sqref="D122:O122">
    <cfRule type="colorScale" priority="9">
      <colorScale>
        <cfvo type="min"/>
        <cfvo type="percentile" val="50"/>
        <cfvo type="max"/>
        <color rgb="FFF8696B"/>
        <color rgb="FFFFEB84"/>
        <color rgb="FF63BE7B"/>
      </colorScale>
    </cfRule>
  </conditionalFormatting>
  <conditionalFormatting sqref="D123:O123">
    <cfRule type="colorScale" priority="8">
      <colorScale>
        <cfvo type="min"/>
        <cfvo type="percentile" val="50"/>
        <cfvo type="max"/>
        <color rgb="FFF8696B"/>
        <color rgb="FFFFEB84"/>
        <color rgb="FF63BE7B"/>
      </colorScale>
    </cfRule>
  </conditionalFormatting>
  <conditionalFormatting sqref="D124:O124">
    <cfRule type="colorScale" priority="7">
      <colorScale>
        <cfvo type="min"/>
        <cfvo type="percentile" val="50"/>
        <cfvo type="max"/>
        <color rgb="FFF8696B"/>
        <color rgb="FFFFEB84"/>
        <color rgb="FF63BE7B"/>
      </colorScale>
    </cfRule>
  </conditionalFormatting>
  <conditionalFormatting sqref="D148:O148">
    <cfRule type="colorScale" priority="6">
      <colorScale>
        <cfvo type="min"/>
        <cfvo type="percentile" val="50"/>
        <cfvo type="max"/>
        <color rgb="FFF8696B"/>
        <color rgb="FFFFEB84"/>
        <color rgb="FF63BE7B"/>
      </colorScale>
    </cfRule>
  </conditionalFormatting>
  <conditionalFormatting sqref="D149:O149">
    <cfRule type="colorScale" priority="5">
      <colorScale>
        <cfvo type="min"/>
        <cfvo type="percentile" val="50"/>
        <cfvo type="max"/>
        <color rgb="FFF8696B"/>
        <color rgb="FFFFEB84"/>
        <color rgb="FF63BE7B"/>
      </colorScale>
    </cfRule>
  </conditionalFormatting>
  <conditionalFormatting sqref="D150:O150">
    <cfRule type="colorScale" priority="4">
      <colorScale>
        <cfvo type="min"/>
        <cfvo type="percentile" val="50"/>
        <cfvo type="max"/>
        <color rgb="FFF8696B"/>
        <color rgb="FFFFEB84"/>
        <color rgb="FF63BE7B"/>
      </colorScale>
    </cfRule>
  </conditionalFormatting>
  <conditionalFormatting sqref="D179:O179">
    <cfRule type="colorScale" priority="3">
      <colorScale>
        <cfvo type="min"/>
        <cfvo type="percentile" val="50"/>
        <cfvo type="max"/>
        <color rgb="FFF8696B"/>
        <color rgb="FFFFEB84"/>
        <color rgb="FF63BE7B"/>
      </colorScale>
    </cfRule>
  </conditionalFormatting>
  <conditionalFormatting sqref="D180:O180">
    <cfRule type="colorScale" priority="2">
      <colorScale>
        <cfvo type="min"/>
        <cfvo type="percentile" val="50"/>
        <cfvo type="max"/>
        <color rgb="FFF8696B"/>
        <color rgb="FFFFEB84"/>
        <color rgb="FF63BE7B"/>
      </colorScale>
    </cfRule>
  </conditionalFormatting>
  <conditionalFormatting sqref="D181:O181">
    <cfRule type="colorScale" priority="1">
      <colorScale>
        <cfvo type="min"/>
        <cfvo type="percentile" val="50"/>
        <cfvo type="max"/>
        <color rgb="FFF8696B"/>
        <color rgb="FFFFEB84"/>
        <color rgb="FF63BE7B"/>
      </colorScale>
    </cfRule>
  </conditionalFormatting>
  <conditionalFormatting sqref="E103:K105">
    <cfRule type="colorScale" priority="17">
      <colorScale>
        <cfvo type="min"/>
        <cfvo type="percentile" val="50"/>
        <cfvo type="max"/>
        <color rgb="FFF8696B"/>
        <color rgb="FFFFEB84"/>
        <color rgb="FF63BE7B"/>
      </colorScale>
    </cfRule>
  </conditionalFormatting>
  <conditionalFormatting sqref="E111:K113">
    <cfRule type="colorScale" priority="10">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66EB8-196A-4B5A-8644-EBC44ADCD869}">
  <dimension ref="A1"/>
  <sheetViews>
    <sheetView showGridLines="0" zoomScale="130" zoomScaleNormal="130" workbookViewId="0">
      <selection activeCell="J7" sqref="J7"/>
    </sheetView>
  </sheetViews>
  <sheetFormatPr baseColWidth="10" defaultRowHeight="15"/>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C4AC9-70DF-4B2F-BF92-45F7FBADD6CD}">
  <dimension ref="E3:Q13"/>
  <sheetViews>
    <sheetView showGridLines="0" topLeftCell="B1" workbookViewId="0">
      <selection activeCell="E4" sqref="E4"/>
    </sheetView>
  </sheetViews>
  <sheetFormatPr baseColWidth="10" defaultRowHeight="15"/>
  <cols>
    <col min="5" max="5" width="25.85546875" customWidth="1"/>
    <col min="6" max="6" width="7.7109375" customWidth="1"/>
    <col min="7" max="7" width="7.5703125" customWidth="1"/>
    <col min="8" max="8" width="7.7109375" customWidth="1"/>
    <col min="9" max="9" width="6.28515625" customWidth="1"/>
    <col min="10" max="10" width="7" customWidth="1"/>
    <col min="11" max="11" width="6.7109375" customWidth="1"/>
    <col min="12" max="12" width="6.42578125" customWidth="1"/>
    <col min="13" max="13" width="7.7109375" customWidth="1"/>
    <col min="14" max="14" width="7.140625" customWidth="1"/>
  </cols>
  <sheetData>
    <row r="3" spans="5:17" ht="16.5">
      <c r="E3" s="41"/>
      <c r="F3" s="267" t="s">
        <v>168</v>
      </c>
      <c r="G3" s="267"/>
      <c r="H3" s="267"/>
      <c r="I3" s="267"/>
      <c r="J3" s="267"/>
      <c r="K3" s="267"/>
      <c r="L3" s="267"/>
      <c r="M3" s="267"/>
      <c r="N3" s="267"/>
      <c r="O3" s="267"/>
      <c r="P3" s="267"/>
      <c r="Q3" s="267"/>
    </row>
    <row r="4" spans="5:17" ht="16.5">
      <c r="E4" s="70" t="s">
        <v>166</v>
      </c>
      <c r="F4" s="55">
        <v>1</v>
      </c>
      <c r="G4" s="55">
        <v>2</v>
      </c>
      <c r="H4" s="55">
        <v>3</v>
      </c>
      <c r="I4" s="55">
        <v>4</v>
      </c>
      <c r="J4" s="55">
        <v>5</v>
      </c>
      <c r="K4" s="55">
        <v>6</v>
      </c>
      <c r="L4" s="55">
        <v>7</v>
      </c>
      <c r="M4" s="55">
        <v>8</v>
      </c>
      <c r="N4" s="55">
        <v>9</v>
      </c>
      <c r="O4" s="55">
        <v>10</v>
      </c>
      <c r="P4" s="55">
        <v>11</v>
      </c>
      <c r="Q4" s="55">
        <v>12</v>
      </c>
    </row>
    <row r="5" spans="5:17" ht="16.5">
      <c r="E5" s="41" t="s">
        <v>105</v>
      </c>
      <c r="F5" s="41"/>
      <c r="G5" s="112">
        <v>-0.02</v>
      </c>
      <c r="H5" s="112">
        <v>-9.5238095238095233E-2</v>
      </c>
      <c r="I5" s="112">
        <v>0.08</v>
      </c>
      <c r="J5" s="112">
        <v>0.02</v>
      </c>
      <c r="K5" s="112">
        <v>0.02</v>
      </c>
      <c r="L5" s="112">
        <v>-9.5238095238095233E-2</v>
      </c>
      <c r="M5" s="112">
        <v>0.08</v>
      </c>
      <c r="N5" s="112">
        <v>0.02</v>
      </c>
      <c r="O5" s="112">
        <v>0.02</v>
      </c>
      <c r="P5" s="112">
        <v>-9.5238095238095233E-2</v>
      </c>
      <c r="Q5" s="112">
        <v>0.08</v>
      </c>
    </row>
    <row r="6" spans="5:17" ht="16.5">
      <c r="E6" s="41" t="s">
        <v>106</v>
      </c>
      <c r="F6" s="41"/>
      <c r="G6" s="112">
        <v>0.04</v>
      </c>
      <c r="H6" s="112">
        <v>-0.04</v>
      </c>
      <c r="I6" s="112">
        <v>0.11</v>
      </c>
      <c r="J6" s="112">
        <v>0.04</v>
      </c>
      <c r="K6" s="112">
        <v>5.0000000000000044E-2</v>
      </c>
      <c r="L6" s="112">
        <v>-0.04</v>
      </c>
      <c r="M6" s="112">
        <v>0.11</v>
      </c>
      <c r="N6" s="112">
        <v>0.04</v>
      </c>
      <c r="O6" s="112">
        <v>5.0000000000000044E-2</v>
      </c>
      <c r="P6" s="112">
        <v>-0.04</v>
      </c>
      <c r="Q6" s="112">
        <v>0.11</v>
      </c>
    </row>
    <row r="7" spans="5:17" ht="16.5">
      <c r="E7" s="41" t="s">
        <v>107</v>
      </c>
      <c r="F7" s="41"/>
      <c r="G7" s="112">
        <v>0.06</v>
      </c>
      <c r="H7" s="112">
        <v>-0.02</v>
      </c>
      <c r="I7" s="112">
        <v>0.14000000000000001</v>
      </c>
      <c r="J7" s="112">
        <v>0.08</v>
      </c>
      <c r="K7" s="112">
        <v>0.06</v>
      </c>
      <c r="L7" s="112">
        <v>-0.02</v>
      </c>
      <c r="M7" s="112">
        <v>0.14000000000000001</v>
      </c>
      <c r="N7" s="112">
        <v>0.08</v>
      </c>
      <c r="O7" s="112">
        <v>0.06</v>
      </c>
      <c r="P7" s="112">
        <v>-0.02</v>
      </c>
      <c r="Q7" s="112">
        <v>0.14000000000000001</v>
      </c>
    </row>
    <row r="8" spans="5:17" ht="16.5">
      <c r="E8" s="41"/>
      <c r="F8" s="41"/>
      <c r="G8" s="112"/>
      <c r="H8" s="112"/>
      <c r="I8" s="112"/>
      <c r="J8" s="112"/>
      <c r="K8" s="112"/>
      <c r="L8" s="112"/>
      <c r="M8" s="112"/>
      <c r="N8" s="41"/>
      <c r="O8" s="41"/>
      <c r="P8" s="41"/>
      <c r="Q8" s="41"/>
    </row>
    <row r="9" spans="5:17" ht="16.5">
      <c r="E9" s="41"/>
      <c r="F9" s="267" t="s">
        <v>167</v>
      </c>
      <c r="G9" s="267"/>
      <c r="H9" s="267"/>
      <c r="I9" s="267"/>
      <c r="J9" s="267"/>
      <c r="K9" s="267"/>
      <c r="L9" s="267"/>
      <c r="M9" s="267"/>
      <c r="N9" s="267"/>
      <c r="O9" s="267"/>
      <c r="P9" s="267"/>
      <c r="Q9" s="267"/>
    </row>
    <row r="10" spans="5:17" ht="16.5">
      <c r="E10" s="70" t="s">
        <v>166</v>
      </c>
      <c r="F10" s="55">
        <v>1</v>
      </c>
      <c r="G10" s="55">
        <v>2</v>
      </c>
      <c r="H10" s="55">
        <v>3</v>
      </c>
      <c r="I10" s="55">
        <v>4</v>
      </c>
      <c r="J10" s="55">
        <v>5</v>
      </c>
      <c r="K10" s="55">
        <v>6</v>
      </c>
      <c r="L10" s="55">
        <v>7</v>
      </c>
      <c r="M10" s="55">
        <v>8</v>
      </c>
      <c r="N10" s="55">
        <v>9</v>
      </c>
      <c r="O10" s="55">
        <v>10</v>
      </c>
      <c r="P10" s="55">
        <v>11</v>
      </c>
      <c r="Q10" s="55">
        <v>12</v>
      </c>
    </row>
    <row r="11" spans="5:17" ht="16.5">
      <c r="E11" s="76" t="s">
        <v>105</v>
      </c>
      <c r="F11" s="41">
        <v>23</v>
      </c>
      <c r="G11" s="41">
        <f>ROUNDDOWN(F11*(1+G5),0)</f>
        <v>22</v>
      </c>
      <c r="H11" s="121">
        <f t="shared" ref="H11:Q13" si="0">ROUNDDOWN(G11*(1+H5),0)</f>
        <v>19</v>
      </c>
      <c r="I11" s="41">
        <f>ROUNDDOWN(H11*(1+I5),0)</f>
        <v>20</v>
      </c>
      <c r="J11" s="41">
        <f t="shared" ref="J11:Q11" si="1">ROUNDDOWN(I11*(1+J5),0)</f>
        <v>20</v>
      </c>
      <c r="K11" s="41">
        <f t="shared" si="1"/>
        <v>20</v>
      </c>
      <c r="L11" s="41">
        <f t="shared" si="1"/>
        <v>18</v>
      </c>
      <c r="M11" s="41">
        <f t="shared" si="1"/>
        <v>19</v>
      </c>
      <c r="N11" s="41">
        <f t="shared" si="1"/>
        <v>19</v>
      </c>
      <c r="O11" s="41">
        <f t="shared" si="1"/>
        <v>19</v>
      </c>
      <c r="P11" s="41">
        <f t="shared" si="1"/>
        <v>17</v>
      </c>
      <c r="Q11" s="41">
        <f t="shared" si="1"/>
        <v>18</v>
      </c>
    </row>
    <row r="12" spans="5:17" ht="16.5">
      <c r="E12" s="41" t="s">
        <v>106</v>
      </c>
      <c r="F12" s="41">
        <v>23</v>
      </c>
      <c r="G12" s="41">
        <f>ROUNDDOWN(F12*(1+G6),0)</f>
        <v>23</v>
      </c>
      <c r="H12" s="41">
        <f t="shared" si="0"/>
        <v>22</v>
      </c>
      <c r="I12" s="41">
        <f>ROUNDDOWN(H12*(1+I6),0)</f>
        <v>24</v>
      </c>
      <c r="J12" s="41">
        <f t="shared" si="0"/>
        <v>24</v>
      </c>
      <c r="K12" s="41">
        <f t="shared" si="0"/>
        <v>25</v>
      </c>
      <c r="L12" s="41">
        <f t="shared" si="0"/>
        <v>24</v>
      </c>
      <c r="M12" s="41">
        <f t="shared" si="0"/>
        <v>26</v>
      </c>
      <c r="N12" s="41">
        <f t="shared" si="0"/>
        <v>27</v>
      </c>
      <c r="O12" s="41">
        <f t="shared" si="0"/>
        <v>28</v>
      </c>
      <c r="P12" s="41">
        <f t="shared" si="0"/>
        <v>26</v>
      </c>
      <c r="Q12" s="41">
        <f t="shared" si="0"/>
        <v>28</v>
      </c>
    </row>
    <row r="13" spans="5:17" ht="16.5">
      <c r="E13" s="41" t="s">
        <v>107</v>
      </c>
      <c r="F13" s="41">
        <v>23</v>
      </c>
      <c r="G13" s="41">
        <f>ROUNDDOWN(F13*(1+G7),0)</f>
        <v>24</v>
      </c>
      <c r="H13" s="41">
        <f t="shared" si="0"/>
        <v>23</v>
      </c>
      <c r="I13" s="41">
        <f t="shared" si="0"/>
        <v>26</v>
      </c>
      <c r="J13" s="41">
        <f t="shared" si="0"/>
        <v>28</v>
      </c>
      <c r="K13" s="41">
        <f t="shared" si="0"/>
        <v>29</v>
      </c>
      <c r="L13" s="41">
        <f t="shared" si="0"/>
        <v>28</v>
      </c>
      <c r="M13" s="41">
        <f t="shared" si="0"/>
        <v>31</v>
      </c>
      <c r="N13" s="41">
        <f t="shared" si="0"/>
        <v>33</v>
      </c>
      <c r="O13" s="41">
        <f t="shared" si="0"/>
        <v>34</v>
      </c>
      <c r="P13" s="41">
        <f t="shared" si="0"/>
        <v>33</v>
      </c>
      <c r="Q13" s="41">
        <f t="shared" si="0"/>
        <v>37</v>
      </c>
    </row>
  </sheetData>
  <mergeCells count="2">
    <mergeCell ref="F3:Q3"/>
    <mergeCell ref="F9:Q9"/>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Inversión</vt:lpstr>
      <vt:lpstr>Presupuesto</vt:lpstr>
      <vt:lpstr>Prom Est.</vt:lpstr>
      <vt:lpstr>P.E</vt:lpstr>
      <vt:lpstr>P.E Gráfico</vt:lpstr>
      <vt:lpstr>Proyección - TIR</vt:lpstr>
      <vt:lpstr>Proyección inflacion</vt:lpstr>
      <vt:lpstr>Escenarios ventas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Sáenz Perez</dc:creator>
  <cp:lastModifiedBy>Yolet Daniela Vargas Perea</cp:lastModifiedBy>
  <dcterms:created xsi:type="dcterms:W3CDTF">2023-05-21T21:25:21Z</dcterms:created>
  <dcterms:modified xsi:type="dcterms:W3CDTF">2023-06-20T21:00:36Z</dcterms:modified>
</cp:coreProperties>
</file>