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idy\Desktop\Monografía finales\"/>
    </mc:Choice>
  </mc:AlternateContent>
  <xr:revisionPtr revIDLastSave="0" documentId="13_ncr:1_{509F0FF2-B297-462D-8E22-226133CC0653}" xr6:coauthVersionLast="36" xr6:coauthVersionMax="36" xr10:uidLastSave="{00000000-0000-0000-0000-000000000000}"/>
  <bookViews>
    <workbookView xWindow="0" yWindow="0" windowWidth="24000" windowHeight="8870" firstSheet="1" activeTab="1" xr2:uid="{0D2D594B-F8B9-447F-BB3F-F2D5EE9DAFAD}"/>
  </bookViews>
  <sheets>
    <sheet name="Compresor Salinas" sheetId="2" state="hidden" r:id="rId1"/>
    <sheet name="Matriz" sheetId="6" r:id="rId2"/>
    <sheet name="Hoja2" sheetId="5" state="hidden" r:id="rId3"/>
  </sheets>
  <definedNames>
    <definedName name="_xlnm._FilterDatabase" localSheetId="0" hidden="1">'Compresor Salinas'!$B$3:$I$40</definedName>
    <definedName name="_xlnm._FilterDatabase" localSheetId="1" hidden="1">Matriz!#REF!</definedName>
    <definedName name="_xlnm.Print_Area" localSheetId="1">Matriz!$A$1:$V$21</definedName>
    <definedName name="_xlnm.Print_Titles" localSheetId="1">Matriz!#REF!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5" i="2" l="1"/>
  <c r="J77" i="2"/>
  <c r="H40" i="2" l="1"/>
  <c r="J83" i="2"/>
  <c r="J88" i="2" l="1"/>
  <c r="I37" i="2"/>
  <c r="G38" i="2"/>
  <c r="E37" i="2"/>
  <c r="D37" i="2"/>
  <c r="C37" i="2"/>
  <c r="G37" i="2" l="1"/>
  <c r="E36" i="2"/>
  <c r="D36" i="2"/>
  <c r="C36" i="2"/>
  <c r="I36" i="2"/>
  <c r="G36" i="2"/>
  <c r="E35" i="2"/>
  <c r="D35" i="2"/>
  <c r="C35" i="2"/>
  <c r="I35" i="2"/>
  <c r="I34" i="2"/>
  <c r="G35" i="2"/>
  <c r="E34" i="2"/>
  <c r="D34" i="2"/>
  <c r="C34" i="2"/>
  <c r="G25" i="2"/>
  <c r="F25" i="2"/>
  <c r="E33" i="2"/>
  <c r="D33" i="2"/>
  <c r="C33" i="2"/>
  <c r="I33" i="2"/>
  <c r="I32" i="2" l="1"/>
  <c r="G34" i="2"/>
  <c r="G33" i="2"/>
  <c r="I31" i="2"/>
  <c r="G4" i="2"/>
  <c r="C9" i="2"/>
  <c r="I9" i="2"/>
  <c r="G12" i="2"/>
  <c r="F12" i="2"/>
  <c r="F40" i="2" s="1"/>
  <c r="E7" i="2"/>
  <c r="D7" i="2"/>
  <c r="C7" i="2"/>
  <c r="I7" i="2"/>
  <c r="I6" i="2"/>
  <c r="G28" i="2"/>
  <c r="G27" i="2"/>
  <c r="D4" i="2"/>
  <c r="C4" i="2"/>
  <c r="I4" i="2"/>
  <c r="F70" i="2" l="1"/>
</calcChain>
</file>

<file path=xl/sharedStrings.xml><?xml version="1.0" encoding="utf-8"?>
<sst xmlns="http://schemas.openxmlformats.org/spreadsheetml/2006/main" count="147" uniqueCount="124">
  <si>
    <t>FECHA</t>
  </si>
  <si>
    <t>RPM</t>
  </si>
  <si>
    <t>Presión de succión etapa 1 (Psig)</t>
  </si>
  <si>
    <t>Presion de descarga 1 (Psig)</t>
  </si>
  <si>
    <t>Temperatura °F cilindro 1</t>
  </si>
  <si>
    <t>Temperatura °F cilindro 2</t>
  </si>
  <si>
    <t>COMPRESOR 7 Salinas</t>
  </si>
  <si>
    <t>Presión de descarga etapa 2 (Psig)</t>
  </si>
  <si>
    <t>Presion de descarga etapa 3 (Psig)</t>
  </si>
  <si>
    <t>1. Averiguar stokes de flujo de bomba de glicol. Preguntar juan Pablo perez (instrumentista), preguntar por modelo de bomba</t>
  </si>
  <si>
    <t>3. Ahora con la misma temperatura pero con la presión de descarga 3 y veo en la grafica de maketa unas nuevas lbs removidas de agua</t>
  </si>
  <si>
    <t>5. comparar el caudal manejado por diseño con las condiciones de operación maxima</t>
  </si>
  <si>
    <t>4. Ahora cojo para el caudal de diseño inicial aprox (5 MMSCFD) y 750 psi (presion de diseño inicial)  y ahora con 500 psi (presion de descarga 3) cuanto volumen se puede trabajar en la planta con estas LS de agua halladas</t>
  </si>
  <si>
    <t>RTA: Bomba de glicol 20 A 30 SPM POR 1,5 MMSCFD</t>
  </si>
  <si>
    <t>Temperatuta promedio del cilindro 2 °F</t>
  </si>
  <si>
    <t>Temperatuta minima del cilindro 2 °F</t>
  </si>
  <si>
    <t>Temperatuta maxima del cilindro 2 °F</t>
  </si>
  <si>
    <t>Dudas?</t>
  </si>
  <si>
    <t>2. Sacar promedio de temperatura del cilindro 2 y un min y un max y con la gráfica de maketa y la Presión de 750 psi (presión de diseño),  determino teóricamente la máxima capacidad de vapor de agua a remover</t>
  </si>
  <si>
    <t>Lbs de agua /MMSCF de gas humedo a 60°F y 14,7 Psia</t>
  </si>
  <si>
    <t>A presión de diseño</t>
  </si>
  <si>
    <t>por diseño aparace que la presion de operación es 400 Psi? No 750 Psi. Revisar la placa de la torre conctatorA</t>
  </si>
  <si>
    <t>Leyendo en la grafica de Maketa con temperatura de diseño de (120° F) y presión de diseño de 750 Psi, se calucula el maximo de vapor a remover</t>
  </si>
  <si>
    <t>para 4 MMSCFD cuantas Lbs de agua maxima se pueden remover</t>
  </si>
  <si>
    <t>A presión y temperatura de diseño</t>
  </si>
  <si>
    <t>A temperatura de diseño</t>
  </si>
  <si>
    <t>A presión y temperatura de operación promedio</t>
  </si>
  <si>
    <t>x</t>
  </si>
  <si>
    <t>PROMEDIO</t>
  </si>
  <si>
    <t>Variando la temperatura: Leyendo en la grafica de Maketa con el promedio de temperatura (258° F) y presión de diseño de 750 Psi, se calucula el maximo de vapor a remover</t>
  </si>
  <si>
    <t>Variando la presión: Leyendo en la grafica de Maketa con temperatura de diseño de 120° F y presión de operación de 498 Psi, se calucula el maximo de vapor a remover</t>
  </si>
  <si>
    <t>Inicial</t>
  </si>
  <si>
    <t>150 F baja 170 Psi</t>
  </si>
  <si>
    <t>1. los cambios de presión y temperatura descideinron la nueva caoacidad de la torre</t>
  </si>
  <si>
    <t>Variando la presión y temperatura:Leyendo en la grafica de Maketa con el promedio de temperatura (150° F) y presión de operación de 499 Psi, se calucula el maximo de vapor a remover</t>
  </si>
  <si>
    <t>Lo diseñado incialmente fue para 640 LBs de agua/MMSCF y lo que actualmente esta removiendo es 450 Lbs de agua/MMSCFD</t>
  </si>
  <si>
    <t>X</t>
  </si>
  <si>
    <t>Para un millon de pies cubicos</t>
  </si>
  <si>
    <t>Y la producción actual es 1,175 MMSCFD</t>
  </si>
  <si>
    <t>La planta podría funcionar maximo con 1,42</t>
  </si>
  <si>
    <t>Se pueden tomar maximos y minimos de temperatura y realizar la grafica con unos 3 puntos</t>
  </si>
  <si>
    <t>2. asumiendo la capacidad de obsorción es igual estamos cerca del limite de la planta</t>
  </si>
  <si>
    <t>VARIABLES DE LA PLANTA DE DESHIDRATACIÓN MEDIANTE ABSORCIÓN CON TEG (TRIETILENGLICOL)</t>
  </si>
  <si>
    <t>TEMPERATURA DE DISEÑO (°F)</t>
  </si>
  <si>
    <t>TEMPERATURA DE OPERACIÓN (°F)</t>
  </si>
  <si>
    <t>PRESIÓN DE DISEÑO (PSI)</t>
  </si>
  <si>
    <t>PRESIÓN DE OPERACIÓN (PSI)</t>
  </si>
  <si>
    <t>CAUDAL DE DISEÑO DE GAS(MMSCFD)</t>
  </si>
  <si>
    <t>CAUDAL DE OPERACIÓN DE GAS(MMSCFD)</t>
  </si>
  <si>
    <t>EFECTO</t>
  </si>
  <si>
    <t>CAUSA</t>
  </si>
  <si>
    <t>EQUIPO</t>
  </si>
  <si>
    <t>COOLER</t>
  </si>
  <si>
    <t>Altas vibraciones</t>
  </si>
  <si>
    <t>Baja presión en la entrada del sistema</t>
  </si>
  <si>
    <t>EVIDENCIA</t>
  </si>
  <si>
    <t>SEPARADOR VERTICAL</t>
  </si>
  <si>
    <t>Alto nivel de condensados</t>
  </si>
  <si>
    <t>Bajo nivel de condensados</t>
  </si>
  <si>
    <t>FILTRO COALESCENTE</t>
  </si>
  <si>
    <t>Baja presión en la descarga de los compresores</t>
  </si>
  <si>
    <t>MEDIDA DE CONTROL</t>
  </si>
  <si>
    <t>CONSECUENCIAS</t>
  </si>
  <si>
    <t>Shutdown del sensor de vibración</t>
  </si>
  <si>
    <t xml:space="preserve">Apagado del motor debido a sensor de vibración </t>
  </si>
  <si>
    <t>Daño a los equipos del sistema de deshidratación</t>
  </si>
  <si>
    <t>Altas vibraciones en el motor</t>
  </si>
  <si>
    <t>Alta presión</t>
  </si>
  <si>
    <t>Bloqueo aguas abajo del separador</t>
  </si>
  <si>
    <t>. Activación de valvula de seguridad de acción directa
. Revisión periodica de las variables operativas</t>
  </si>
  <si>
    <t>Falla mecánica del separador vertical</t>
  </si>
  <si>
    <t>Activación de valvula PSV: genrando perdidas de producción, atmosfera explosiva y posible derrame de contaminantes</t>
  </si>
  <si>
    <t>. Switch electrico- alarma por alto nivel en el scada
. Lazo de control por nivel
. Alto nivel en el visor.</t>
  </si>
  <si>
    <t>Arrastre de liquidos hacia el filtro coalescente disminuyendo la eficiencia</t>
  </si>
  <si>
    <t>. Switch electrico- alarma por bajo nivel en el scada
. Lazo de control por nivel
. Bajo nivel en el visor.</t>
  </si>
  <si>
    <t xml:space="preserve">Arrastre de gas hacia línea de drenaje de condensados del sistema de deshidratación  </t>
  </si>
  <si>
    <t>Alta caida de presión en las recámaras-Filtro</t>
  </si>
  <si>
    <t>. Direrencial de presión alta
. Daño en la torre y unidad regeneradora de TEG, al pasar mayor cantidad de líquidos, aceites y particulas de polvo.</t>
  </si>
  <si>
    <t>. Medidor de presión diferencial de las 2 recámaras del filtro.</t>
  </si>
  <si>
    <t>. Saturación de los cartuchos del filtro
. Falla en el indicador de presión diferencial</t>
  </si>
  <si>
    <t>Bloqueo aguas abajo del filtro</t>
  </si>
  <si>
    <t xml:space="preserve">. Valvula de seguridad de acción directa
. Revisión periodica de variables operativas. </t>
  </si>
  <si>
    <t>.  Falla mecánica del filtro coalescente
.  Si llega a niveles críticos se aliviará presión por la PSV, causando perdidas de producción, atmosfera explosiva entre otros.</t>
  </si>
  <si>
    <t>Alto nivel de líquidos</t>
  </si>
  <si>
    <t>. Falla del lazo de control que induce a cierre de la valvula de control de líquidos del filtro.
. Cierre inadvertido de cualquier valvula en el recorrido de la línea de líquidos hacia Batería.</t>
  </si>
  <si>
    <t xml:space="preserve">. Switch eléctrico- alarma por alto nivel visual en el scada.
. Lazo de control por nivel
. Alto nivel en el visor.
</t>
  </si>
  <si>
    <t>Arrastre de liquidos hacia la torre absorvedora y la unidad regeneradora de TEG, disminuyendo la eficiencia.</t>
  </si>
  <si>
    <t>Bajo nivel de líquidos</t>
  </si>
  <si>
    <t>. Falla del lazo de control que induce a apertura de la valvula de control de líquidos.
. Alineación incorrecta de valvulas manuales a la entrada del filtro coalescente.</t>
  </si>
  <si>
    <t xml:space="preserve">. Switch eléctrico- alarma por bajo nivel visual en el scada.
. Lazo de control por nivel
. Bajo nivel en el visor.
</t>
  </si>
  <si>
    <t>Arrastre de gas hacía la línea de drenaje de condensados del sistema de deshidratación.</t>
  </si>
  <si>
    <t>UNIDAD DE DESHIDRATACIÓN MEDIANTE ABSORCIÓN CON TEG</t>
  </si>
  <si>
    <t>Perdidas de TEG en la torre</t>
  </si>
  <si>
    <t>. Limpieza de platos con química o inyección de agua
.  Revisión periodica del funcionamiento del cooler</t>
  </si>
  <si>
    <t>. Taponamiento o suciedad en los platos
. Gas de entrada a la torre con alta temperatura</t>
  </si>
  <si>
    <t>.  Perdida de TEG y bajo nivel en el Skimmer
. Baja eficiencia de deshidratación.</t>
  </si>
  <si>
    <t>Alta Presión</t>
  </si>
  <si>
    <t>Bloqueo aguas abajo de la torre absorbedora/contactora</t>
  </si>
  <si>
    <t>. Falla mecánica de la torre aborbedora/conctactora
. Si llega a niveles críticos se aliviará presión por la PSV, causando perdidas de producción, atmosfera explosiva entre otros.</t>
  </si>
  <si>
    <t>Bajo nivel de TEG en la torre conctatora/absorbedora</t>
  </si>
  <si>
    <t xml:space="preserve"> .  Altas temperaturas que causan evaporación de TEG.
 .  Valvulas o drenajes del sistema abiertos
 </t>
  </si>
  <si>
    <t xml:space="preserve"> .  Revisión periódica de parámetros de temperatura de TEG por evaporación o degradación.
 .  Revisión del visor de nivel de la torre conctatora/absorbedora.</t>
  </si>
  <si>
    <t>Altas temperaturas en el rehervidor</t>
  </si>
  <si>
    <t>. Set point del sistema de control de quemador en un valor mayor al de degradación de TEG</t>
  </si>
  <si>
    <t xml:space="preserve"> .  Revisión periodica de variables operativas
 .  Shutdown por alta temperatura.</t>
  </si>
  <si>
    <t>Perdidas por evaporación del TEG.</t>
  </si>
  <si>
    <t>Bajas temperaturas en el rehervidor</t>
  </si>
  <si>
    <t xml:space="preserve"> .  Revisión periodica de variables operativas
 .  Mantenimiento preventivo al tubo de fuego del rehervidor.</t>
  </si>
  <si>
    <t>Golpe o no funcionamiento de la bomba de TEG</t>
  </si>
  <si>
    <t xml:space="preserve">. Una o mas líneas de flujo hacia la bomba están bloqueadas
. Falta de flujo en la succión de la bomba
. Daño en empaques o pistón de la bomba. </t>
  </si>
  <si>
    <t>Daño potencial de la bomba de TEG</t>
  </si>
  <si>
    <t>Daño potencial de la unidad regeneradora de TEG</t>
  </si>
  <si>
    <t xml:space="preserve">
. Set point del sistema de control del quemador en un valor menor al de ebullición del agua (212 °F).
. Quemador del tubo de fuego apagado/dañado/obstruido por suciedad.
 </t>
  </si>
  <si>
    <t>MATRIZ CAUSA - EFECTO PLANTA DE DESHIDRATACIÓN MEDIANTE ABSORCIÓN CON TEG (TRIETILENGLICOL)</t>
  </si>
  <si>
    <t>. Revisión periodica de visores de nivel del rehervidor y torre conctatora/absorbedora.
. Mantenimientos preventivos a la bomba.
. Filtro aguas abajo de la succión de la bomba, para evitar particulas que dañen los empaques.</t>
  </si>
  <si>
    <t xml:space="preserve"> . Baja eficiencia en la deshidratación del gas.
. Daño del tubo de fuego en el rehervidor.</t>
  </si>
  <si>
    <t>Bajo nivel de TEG en el rehervidor</t>
  </si>
  <si>
    <t>.  Altas temperaturas que causan evaporación de TEG.
 .  Valvulas o drenajes del sistema abiertos</t>
  </si>
  <si>
    <t xml:space="preserve"> .  Revisión periódica de parámetros de temperatura de TEG por evaporación o degradación.
 .  Revisión del visor de nivel del rehervidor.</t>
  </si>
  <si>
    <t>Daño del rehervidor</t>
  </si>
  <si>
    <t xml:space="preserve">. Valvula de seguridad de acción directa
. Revisión periódica de variables operativas (manómetro) </t>
  </si>
  <si>
    <t>. Falla en lazo de control que induce a apertura de la valvula de control de líquidos.
. Alineación incorrecta de valvulas manuales a la entrada del separador vertical</t>
  </si>
  <si>
    <t>. Falla en lazo de control que induce cierre de valvula de control de líquidos.
. Cierre inadvertido de cualquier valvula en el recorrido de la línea de liquidos hacia batería</t>
  </si>
  <si>
    <t>.  Transmisor de presión en la entrada del Cooler.
. Revisión periodica de las variables operativas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</si>
</sst>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€]* #,##0.00_);_([$€]* \(#,##0.00\);_([$€]* &quot;-&quot;??_);_(@_)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 Narrow"/>
      <family val="2"/>
    </font>
    <font>
      <b/>
      <sz val="14"/>
      <name val="Arial Narrow"/>
      <family val="2"/>
    </font>
    <font>
      <sz val="10"/>
      <color indexed="8"/>
      <name val="Arial"/>
      <family val="2"/>
    </font>
    <font>
      <sz val="8"/>
      <color indexed="53"/>
      <name val="Arial Narrow"/>
      <family val="2"/>
    </font>
    <font>
      <sz val="8"/>
      <color indexed="8"/>
      <name val="Arial Narrow"/>
      <family val="2"/>
    </font>
    <font>
      <b/>
      <sz val="8"/>
      <name val="Arial Narrow"/>
      <family val="2"/>
    </font>
    <font>
      <b/>
      <sz val="10"/>
      <color theme="0"/>
      <name val="Arial Narrow"/>
      <family val="2"/>
    </font>
    <font>
      <b/>
      <sz val="8"/>
      <color indexed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0549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/>
    <xf numFmtId="9" fontId="1" fillId="0" borderId="0" applyFont="0" applyFill="0" applyBorder="0" applyAlignment="0" applyProtection="0"/>
    <xf numFmtId="0" fontId="5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9" fontId="2" fillId="0" borderId="0" xfId="2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8" fillId="0" borderId="0" xfId="3" applyFont="1"/>
    <xf numFmtId="0" fontId="9" fillId="0" borderId="0" xfId="3" applyFont="1"/>
    <xf numFmtId="0" fontId="10" fillId="0" borderId="0" xfId="3" applyFont="1"/>
    <xf numFmtId="0" fontId="12" fillId="4" borderId="16" xfId="3" applyFont="1" applyFill="1" applyBorder="1" applyAlignment="1">
      <alignment horizontal="center" vertical="center" wrapText="1"/>
    </xf>
    <xf numFmtId="0" fontId="12" fillId="4" borderId="21" xfId="3" applyFont="1" applyFill="1" applyBorder="1" applyAlignment="1">
      <alignment horizontal="center" vertical="center"/>
    </xf>
    <xf numFmtId="0" fontId="12" fillId="4" borderId="6" xfId="3" applyFont="1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2" fillId="4" borderId="21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6" fillId="0" borderId="27" xfId="3" applyFont="1" applyBorder="1" applyAlignment="1">
      <alignment horizontal="center" vertical="center"/>
    </xf>
    <xf numFmtId="0" fontId="6" fillId="0" borderId="28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27" xfId="3" applyFont="1" applyBorder="1" applyAlignment="1">
      <alignment horizontal="center" vertical="center" wrapText="1"/>
    </xf>
    <xf numFmtId="0" fontId="6" fillId="0" borderId="29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1" fillId="3" borderId="30" xfId="3" applyFont="1" applyFill="1" applyBorder="1" applyAlignment="1">
      <alignment horizontal="center" vertical="center"/>
    </xf>
    <xf numFmtId="0" fontId="11" fillId="3" borderId="31" xfId="3" applyFont="1" applyFill="1" applyBorder="1" applyAlignment="1">
      <alignment horizontal="center" vertical="center"/>
    </xf>
    <xf numFmtId="0" fontId="6" fillId="0" borderId="32" xfId="3" applyFont="1" applyBorder="1" applyAlignment="1">
      <alignment horizontal="center" vertical="center" wrapText="1"/>
    </xf>
    <xf numFmtId="0" fontId="6" fillId="0" borderId="33" xfId="3" applyFont="1" applyBorder="1" applyAlignment="1">
      <alignment horizontal="center" vertical="center" wrapText="1"/>
    </xf>
    <xf numFmtId="0" fontId="6" fillId="0" borderId="34" xfId="3" applyFont="1" applyBorder="1" applyAlignment="1">
      <alignment horizontal="center" vertical="center" wrapText="1"/>
    </xf>
    <xf numFmtId="0" fontId="11" fillId="0" borderId="35" xfId="3" applyFont="1" applyBorder="1" applyAlignment="1">
      <alignment horizontal="center" vertical="center"/>
    </xf>
    <xf numFmtId="0" fontId="7" fillId="0" borderId="35" xfId="3" applyFont="1" applyBorder="1" applyAlignment="1">
      <alignment horizontal="center" vertical="center"/>
    </xf>
    <xf numFmtId="0" fontId="7" fillId="0" borderId="36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11" fillId="0" borderId="11" xfId="3" applyFont="1" applyBorder="1" applyAlignment="1">
      <alignment horizontal="center" vertical="center"/>
    </xf>
    <xf numFmtId="0" fontId="11" fillId="0" borderId="37" xfId="3" applyFont="1" applyBorder="1" applyAlignment="1">
      <alignment horizontal="center" vertical="center"/>
    </xf>
    <xf numFmtId="0" fontId="13" fillId="0" borderId="29" xfId="3" applyFont="1" applyBorder="1" applyAlignment="1">
      <alignment horizontal="center" vertical="center"/>
    </xf>
    <xf numFmtId="0" fontId="11" fillId="0" borderId="29" xfId="3" applyFont="1" applyBorder="1" applyAlignment="1">
      <alignment horizontal="center" vertical="center"/>
    </xf>
    <xf numFmtId="0" fontId="11" fillId="0" borderId="38" xfId="3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/>
    </xf>
    <xf numFmtId="0" fontId="11" fillId="0" borderId="25" xfId="3" applyFont="1" applyBorder="1" applyAlignment="1">
      <alignment horizontal="center" vertical="center"/>
    </xf>
    <xf numFmtId="0" fontId="11" fillId="0" borderId="26" xfId="3" applyFont="1" applyBorder="1" applyAlignment="1">
      <alignment horizontal="center" vertical="center"/>
    </xf>
    <xf numFmtId="0" fontId="11" fillId="3" borderId="39" xfId="3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2" fillId="4" borderId="24" xfId="3" applyFont="1" applyFill="1" applyBorder="1" applyAlignment="1">
      <alignment horizontal="center" vertical="center" textRotation="90"/>
    </xf>
    <xf numFmtId="0" fontId="12" fillId="4" borderId="25" xfId="3" applyFont="1" applyFill="1" applyBorder="1" applyAlignment="1">
      <alignment horizontal="center" vertical="center" textRotation="90"/>
    </xf>
    <xf numFmtId="0" fontId="12" fillId="4" borderId="26" xfId="3" applyFont="1" applyFill="1" applyBorder="1" applyAlignment="1">
      <alignment horizontal="center" vertical="center" textRotation="90"/>
    </xf>
    <xf numFmtId="0" fontId="6" fillId="3" borderId="22" xfId="3" applyFont="1" applyFill="1" applyBorder="1" applyAlignment="1">
      <alignment horizontal="center" vertical="center" textRotation="90" wrapText="1"/>
    </xf>
    <xf numFmtId="0" fontId="6" fillId="3" borderId="23" xfId="3" applyFont="1" applyFill="1" applyBorder="1" applyAlignment="1">
      <alignment horizontal="center" vertical="center" textRotation="90" wrapText="1"/>
    </xf>
    <xf numFmtId="0" fontId="6" fillId="3" borderId="20" xfId="3" applyFont="1" applyFill="1" applyBorder="1" applyAlignment="1">
      <alignment horizontal="center" vertical="center" textRotation="90" wrapText="1"/>
    </xf>
    <xf numFmtId="0" fontId="12" fillId="4" borderId="22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16" xfId="3" applyFont="1" applyFill="1" applyBorder="1" applyAlignment="1">
      <alignment horizontal="center" vertical="center" textRotation="90"/>
    </xf>
    <xf numFmtId="0" fontId="12" fillId="4" borderId="17" xfId="3" applyFont="1" applyFill="1" applyBorder="1" applyAlignment="1">
      <alignment horizontal="center" vertical="center" textRotation="90"/>
    </xf>
    <xf numFmtId="0" fontId="12" fillId="4" borderId="18" xfId="3" applyFont="1" applyFill="1" applyBorder="1" applyAlignment="1">
      <alignment horizontal="center" vertical="center" textRotation="90"/>
    </xf>
    <xf numFmtId="0" fontId="12" fillId="4" borderId="16" xfId="3" applyFont="1" applyFill="1" applyBorder="1" applyAlignment="1">
      <alignment horizontal="center" vertical="center" textRotation="90" wrapText="1"/>
    </xf>
    <xf numFmtId="0" fontId="12" fillId="4" borderId="17" xfId="3" applyFont="1" applyFill="1" applyBorder="1" applyAlignment="1">
      <alignment horizontal="center" vertical="center" textRotation="90" wrapText="1"/>
    </xf>
    <xf numFmtId="0" fontId="6" fillId="3" borderId="24" xfId="3" applyFont="1" applyFill="1" applyBorder="1" applyAlignment="1">
      <alignment horizontal="center" vertical="center" textRotation="90" wrapText="1"/>
    </xf>
    <xf numFmtId="0" fontId="6" fillId="3" borderId="25" xfId="3" applyFont="1" applyFill="1" applyBorder="1" applyAlignment="1">
      <alignment horizontal="center" vertical="center" textRotation="90" wrapText="1"/>
    </xf>
    <xf numFmtId="0" fontId="6" fillId="3" borderId="26" xfId="3" applyFont="1" applyFill="1" applyBorder="1" applyAlignment="1">
      <alignment horizontal="center" vertical="center" textRotation="90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9C851942-05E7-4921-8CC4-E641318B790B}"/>
    <cellStyle name="Normal 74 2 10" xfId="1" xr:uid="{CB333663-5B5D-4C7F-8D0B-F1749F1923BD}"/>
    <cellStyle name="Porcentaje" xfId="2" builtinId="5"/>
  </cellStyles>
  <dxfs count="0"/>
  <tableStyles count="0" defaultTableStyle="TableStyleMedium2" defaultPivotStyle="PivotStyleLight16"/>
  <colors>
    <mruColors>
      <color rgb="FFCC9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TEMPERATURA</a:t>
            </a:r>
            <a:r>
              <a:rPr lang="en-US" b="1" baseline="0">
                <a:solidFill>
                  <a:sysClr val="windowText" lastClr="000000"/>
                </a:solidFill>
              </a:rPr>
              <a:t> VS PRESIÓN SALIDA DEL COMPRESOR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'Compresor Salinas'!$H$3</c:f>
              <c:strCache>
                <c:ptCount val="1"/>
                <c:pt idx="0">
                  <c:v>Temperatura °F cilindro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'Compresor Salinas'!$F$4:$F$37</c:f>
              <c:numCache>
                <c:formatCode>0</c:formatCode>
                <c:ptCount val="34"/>
                <c:pt idx="0">
                  <c:v>500</c:v>
                </c:pt>
                <c:pt idx="1">
                  <c:v>500</c:v>
                </c:pt>
                <c:pt idx="2">
                  <c:v>494</c:v>
                </c:pt>
                <c:pt idx="3">
                  <c:v>495</c:v>
                </c:pt>
                <c:pt idx="4">
                  <c:v>498</c:v>
                </c:pt>
                <c:pt idx="5">
                  <c:v>497</c:v>
                </c:pt>
                <c:pt idx="6">
                  <c:v>500</c:v>
                </c:pt>
                <c:pt idx="7" formatCode="General">
                  <c:v>500</c:v>
                </c:pt>
                <c:pt idx="8" formatCode="General">
                  <c:v>496</c:v>
                </c:pt>
                <c:pt idx="9">
                  <c:v>496</c:v>
                </c:pt>
                <c:pt idx="10">
                  <c:v>496</c:v>
                </c:pt>
                <c:pt idx="11">
                  <c:v>496</c:v>
                </c:pt>
                <c:pt idx="12" formatCode="General">
                  <c:v>494</c:v>
                </c:pt>
                <c:pt idx="13">
                  <c:v>500</c:v>
                </c:pt>
                <c:pt idx="14">
                  <c:v>498</c:v>
                </c:pt>
                <c:pt idx="15">
                  <c:v>497</c:v>
                </c:pt>
                <c:pt idx="16">
                  <c:v>500</c:v>
                </c:pt>
                <c:pt idx="17">
                  <c:v>498</c:v>
                </c:pt>
                <c:pt idx="18">
                  <c:v>498</c:v>
                </c:pt>
                <c:pt idx="19">
                  <c:v>498</c:v>
                </c:pt>
                <c:pt idx="20">
                  <c:v>498</c:v>
                </c:pt>
                <c:pt idx="21" formatCode="General">
                  <c:v>498</c:v>
                </c:pt>
                <c:pt idx="22">
                  <c:v>500</c:v>
                </c:pt>
                <c:pt idx="23" formatCode="General">
                  <c:v>500</c:v>
                </c:pt>
                <c:pt idx="24" formatCode="General">
                  <c:v>500</c:v>
                </c:pt>
                <c:pt idx="25">
                  <c:v>500</c:v>
                </c:pt>
                <c:pt idx="26">
                  <c:v>500</c:v>
                </c:pt>
                <c:pt idx="27">
                  <c:v>500</c:v>
                </c:pt>
                <c:pt idx="28">
                  <c:v>500</c:v>
                </c:pt>
                <c:pt idx="29" formatCode="General">
                  <c:v>500</c:v>
                </c:pt>
                <c:pt idx="30" formatCode="General">
                  <c:v>500</c:v>
                </c:pt>
                <c:pt idx="31" formatCode="General">
                  <c:v>500</c:v>
                </c:pt>
                <c:pt idx="32" formatCode="General">
                  <c:v>500</c:v>
                </c:pt>
                <c:pt idx="33" formatCode="General">
                  <c:v>500</c:v>
                </c:pt>
              </c:numCache>
            </c:numRef>
          </c:xVal>
          <c:yVal>
            <c:numRef>
              <c:f>'Compresor Salinas'!$H$4:$H$37</c:f>
              <c:numCache>
                <c:formatCode>0</c:formatCode>
                <c:ptCount val="34"/>
                <c:pt idx="0">
                  <c:v>150</c:v>
                </c:pt>
                <c:pt idx="1">
                  <c:v>145</c:v>
                </c:pt>
                <c:pt idx="2">
                  <c:v>155</c:v>
                </c:pt>
                <c:pt idx="3">
                  <c:v>150</c:v>
                </c:pt>
                <c:pt idx="4">
                  <c:v>155</c:v>
                </c:pt>
                <c:pt idx="5">
                  <c:v>158</c:v>
                </c:pt>
                <c:pt idx="6">
                  <c:v>157</c:v>
                </c:pt>
                <c:pt idx="7">
                  <c:v>154</c:v>
                </c:pt>
                <c:pt idx="8">
                  <c:v>153</c:v>
                </c:pt>
                <c:pt idx="9">
                  <c:v>150</c:v>
                </c:pt>
                <c:pt idx="10">
                  <c:v>152</c:v>
                </c:pt>
                <c:pt idx="11">
                  <c:v>150</c:v>
                </c:pt>
                <c:pt idx="12" formatCode="General">
                  <c:v>155</c:v>
                </c:pt>
                <c:pt idx="13">
                  <c:v>150</c:v>
                </c:pt>
                <c:pt idx="14">
                  <c:v>145</c:v>
                </c:pt>
                <c:pt idx="15">
                  <c:v>140</c:v>
                </c:pt>
                <c:pt idx="16">
                  <c:v>150</c:v>
                </c:pt>
                <c:pt idx="17">
                  <c:v>153</c:v>
                </c:pt>
                <c:pt idx="18">
                  <c:v>156</c:v>
                </c:pt>
                <c:pt idx="19">
                  <c:v>155</c:v>
                </c:pt>
                <c:pt idx="20">
                  <c:v>150</c:v>
                </c:pt>
                <c:pt idx="21">
                  <c:v>154</c:v>
                </c:pt>
                <c:pt idx="22">
                  <c:v>140</c:v>
                </c:pt>
                <c:pt idx="23">
                  <c:v>130</c:v>
                </c:pt>
                <c:pt idx="24">
                  <c:v>160</c:v>
                </c:pt>
                <c:pt idx="25">
                  <c:v>150</c:v>
                </c:pt>
                <c:pt idx="26">
                  <c:v>158</c:v>
                </c:pt>
                <c:pt idx="27">
                  <c:v>140</c:v>
                </c:pt>
                <c:pt idx="28">
                  <c:v>130</c:v>
                </c:pt>
                <c:pt idx="29">
                  <c:v>140</c:v>
                </c:pt>
                <c:pt idx="30">
                  <c:v>150</c:v>
                </c:pt>
                <c:pt idx="31">
                  <c:v>155</c:v>
                </c:pt>
                <c:pt idx="32">
                  <c:v>150</c:v>
                </c:pt>
                <c:pt idx="33">
                  <c:v>160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49-4E6F-94D7-B76EF8834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955999"/>
        <c:axId val="1680032207"/>
      </c:scatterChart>
      <c:valAx>
        <c:axId val="849559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0032207"/>
        <c:crosses val="autoZero"/>
        <c:crossBetween val="midCat"/>
      </c:valAx>
      <c:valAx>
        <c:axId val="1680032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9559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PRESION</a:t>
            </a:r>
            <a:r>
              <a:rPr lang="en-US" b="1" baseline="0">
                <a:solidFill>
                  <a:sysClr val="windowText" lastClr="000000"/>
                </a:solidFill>
              </a:rPr>
              <a:t> VS TIEMPO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'Compresor Salinas'!$C$3</c:f>
              <c:strCache>
                <c:ptCount val="1"/>
                <c:pt idx="0">
                  <c:v>Presión de succión etapa 1 (Psig)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'Compresor Salinas'!$B$4:$B$39</c:f>
              <c:numCache>
                <c:formatCode>m/d/yyyy</c:formatCode>
                <c:ptCount val="36"/>
                <c:pt idx="0">
                  <c:v>45134</c:v>
                </c:pt>
                <c:pt idx="1">
                  <c:v>45135</c:v>
                </c:pt>
                <c:pt idx="2">
                  <c:v>45136</c:v>
                </c:pt>
                <c:pt idx="3">
                  <c:v>45137</c:v>
                </c:pt>
                <c:pt idx="4">
                  <c:v>45138</c:v>
                </c:pt>
                <c:pt idx="5">
                  <c:v>45139</c:v>
                </c:pt>
                <c:pt idx="6">
                  <c:v>45140</c:v>
                </c:pt>
                <c:pt idx="7">
                  <c:v>45141</c:v>
                </c:pt>
                <c:pt idx="8">
                  <c:v>45142</c:v>
                </c:pt>
                <c:pt idx="9">
                  <c:v>45143</c:v>
                </c:pt>
                <c:pt idx="10">
                  <c:v>45144</c:v>
                </c:pt>
                <c:pt idx="11">
                  <c:v>45145</c:v>
                </c:pt>
                <c:pt idx="12">
                  <c:v>45146</c:v>
                </c:pt>
                <c:pt idx="13">
                  <c:v>45147</c:v>
                </c:pt>
                <c:pt idx="14">
                  <c:v>45148</c:v>
                </c:pt>
                <c:pt idx="15">
                  <c:v>45149</c:v>
                </c:pt>
                <c:pt idx="16">
                  <c:v>45150</c:v>
                </c:pt>
                <c:pt idx="17">
                  <c:v>45151</c:v>
                </c:pt>
                <c:pt idx="18">
                  <c:v>45152</c:v>
                </c:pt>
                <c:pt idx="19">
                  <c:v>45153</c:v>
                </c:pt>
                <c:pt idx="20">
                  <c:v>45154</c:v>
                </c:pt>
                <c:pt idx="21">
                  <c:v>45155</c:v>
                </c:pt>
                <c:pt idx="22">
                  <c:v>45156</c:v>
                </c:pt>
                <c:pt idx="23">
                  <c:v>45157</c:v>
                </c:pt>
                <c:pt idx="24">
                  <c:v>45158</c:v>
                </c:pt>
                <c:pt idx="25">
                  <c:v>45159</c:v>
                </c:pt>
                <c:pt idx="26">
                  <c:v>45160</c:v>
                </c:pt>
                <c:pt idx="27">
                  <c:v>45161</c:v>
                </c:pt>
                <c:pt idx="28">
                  <c:v>45162</c:v>
                </c:pt>
                <c:pt idx="29">
                  <c:v>45163</c:v>
                </c:pt>
                <c:pt idx="30">
                  <c:v>45164</c:v>
                </c:pt>
                <c:pt idx="31">
                  <c:v>45165</c:v>
                </c:pt>
                <c:pt idx="32">
                  <c:v>45166</c:v>
                </c:pt>
                <c:pt idx="33">
                  <c:v>45167</c:v>
                </c:pt>
                <c:pt idx="34">
                  <c:v>45168</c:v>
                </c:pt>
                <c:pt idx="35">
                  <c:v>45169</c:v>
                </c:pt>
              </c:numCache>
            </c:numRef>
          </c:xVal>
          <c:yVal>
            <c:numRef>
              <c:f>'Compresor Salinas'!$C$4:$C$39</c:f>
            </c:numRef>
          </c:yVal>
          <c:smooth val="0"/>
          <c:extLst>
            <c:ext xmlns:c16="http://schemas.microsoft.com/office/drawing/2014/chart" uri="{C3380CC4-5D6E-409C-BE32-E72D297353CC}">
              <c16:uniqueId val="{00000004-273A-46FE-BB1D-56B0FE88ED3C}"/>
            </c:ext>
          </c:extLst>
        </c:ser>
        <c:ser>
          <c:idx val="1"/>
          <c:order val="1"/>
          <c:tx>
            <c:strRef>
              <c:f>'Compresor Salinas'!$D$3</c:f>
              <c:strCache>
                <c:ptCount val="1"/>
                <c:pt idx="0">
                  <c:v>Presion de descarga 1 (Psig)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'Compresor Salinas'!$B$4:$B$39</c:f>
              <c:numCache>
                <c:formatCode>m/d/yyyy</c:formatCode>
                <c:ptCount val="36"/>
                <c:pt idx="0">
                  <c:v>45134</c:v>
                </c:pt>
                <c:pt idx="1">
                  <c:v>45135</c:v>
                </c:pt>
                <c:pt idx="2">
                  <c:v>45136</c:v>
                </c:pt>
                <c:pt idx="3">
                  <c:v>45137</c:v>
                </c:pt>
                <c:pt idx="4">
                  <c:v>45138</c:v>
                </c:pt>
                <c:pt idx="5">
                  <c:v>45139</c:v>
                </c:pt>
                <c:pt idx="6">
                  <c:v>45140</c:v>
                </c:pt>
                <c:pt idx="7">
                  <c:v>45141</c:v>
                </c:pt>
                <c:pt idx="8">
                  <c:v>45142</c:v>
                </c:pt>
                <c:pt idx="9">
                  <c:v>45143</c:v>
                </c:pt>
                <c:pt idx="10">
                  <c:v>45144</c:v>
                </c:pt>
                <c:pt idx="11">
                  <c:v>45145</c:v>
                </c:pt>
                <c:pt idx="12">
                  <c:v>45146</c:v>
                </c:pt>
                <c:pt idx="13">
                  <c:v>45147</c:v>
                </c:pt>
                <c:pt idx="14">
                  <c:v>45148</c:v>
                </c:pt>
                <c:pt idx="15">
                  <c:v>45149</c:v>
                </c:pt>
                <c:pt idx="16">
                  <c:v>45150</c:v>
                </c:pt>
                <c:pt idx="17">
                  <c:v>45151</c:v>
                </c:pt>
                <c:pt idx="18">
                  <c:v>45152</c:v>
                </c:pt>
                <c:pt idx="19">
                  <c:v>45153</c:v>
                </c:pt>
                <c:pt idx="20">
                  <c:v>45154</c:v>
                </c:pt>
                <c:pt idx="21">
                  <c:v>45155</c:v>
                </c:pt>
                <c:pt idx="22">
                  <c:v>45156</c:v>
                </c:pt>
                <c:pt idx="23">
                  <c:v>45157</c:v>
                </c:pt>
                <c:pt idx="24">
                  <c:v>45158</c:v>
                </c:pt>
                <c:pt idx="25">
                  <c:v>45159</c:v>
                </c:pt>
                <c:pt idx="26">
                  <c:v>45160</c:v>
                </c:pt>
                <c:pt idx="27">
                  <c:v>45161</c:v>
                </c:pt>
                <c:pt idx="28">
                  <c:v>45162</c:v>
                </c:pt>
                <c:pt idx="29">
                  <c:v>45163</c:v>
                </c:pt>
                <c:pt idx="30">
                  <c:v>45164</c:v>
                </c:pt>
                <c:pt idx="31">
                  <c:v>45165</c:v>
                </c:pt>
                <c:pt idx="32">
                  <c:v>45166</c:v>
                </c:pt>
                <c:pt idx="33">
                  <c:v>45167</c:v>
                </c:pt>
                <c:pt idx="34">
                  <c:v>45168</c:v>
                </c:pt>
                <c:pt idx="35">
                  <c:v>45169</c:v>
                </c:pt>
              </c:numCache>
            </c:numRef>
          </c:xVal>
          <c:yVal>
            <c:numRef>
              <c:f>'Compresor Salinas'!$D$4:$D$39</c:f>
            </c:numRef>
          </c:yVal>
          <c:smooth val="0"/>
          <c:extLst>
            <c:ext xmlns:c16="http://schemas.microsoft.com/office/drawing/2014/chart" uri="{C3380CC4-5D6E-409C-BE32-E72D297353CC}">
              <c16:uniqueId val="{00000005-273A-46FE-BB1D-56B0FE88ED3C}"/>
            </c:ext>
          </c:extLst>
        </c:ser>
        <c:ser>
          <c:idx val="2"/>
          <c:order val="2"/>
          <c:tx>
            <c:strRef>
              <c:f>'Compresor Salinas'!$E$3</c:f>
              <c:strCache>
                <c:ptCount val="1"/>
                <c:pt idx="0">
                  <c:v>Presión de descarga etapa 2 (Psig)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'Compresor Salinas'!$B$4:$B$39</c:f>
              <c:numCache>
                <c:formatCode>m/d/yyyy</c:formatCode>
                <c:ptCount val="36"/>
                <c:pt idx="0">
                  <c:v>45134</c:v>
                </c:pt>
                <c:pt idx="1">
                  <c:v>45135</c:v>
                </c:pt>
                <c:pt idx="2">
                  <c:v>45136</c:v>
                </c:pt>
                <c:pt idx="3">
                  <c:v>45137</c:v>
                </c:pt>
                <c:pt idx="4">
                  <c:v>45138</c:v>
                </c:pt>
                <c:pt idx="5">
                  <c:v>45139</c:v>
                </c:pt>
                <c:pt idx="6">
                  <c:v>45140</c:v>
                </c:pt>
                <c:pt idx="7">
                  <c:v>45141</c:v>
                </c:pt>
                <c:pt idx="8">
                  <c:v>45142</c:v>
                </c:pt>
                <c:pt idx="9">
                  <c:v>45143</c:v>
                </c:pt>
                <c:pt idx="10">
                  <c:v>45144</c:v>
                </c:pt>
                <c:pt idx="11">
                  <c:v>45145</c:v>
                </c:pt>
                <c:pt idx="12">
                  <c:v>45146</c:v>
                </c:pt>
                <c:pt idx="13">
                  <c:v>45147</c:v>
                </c:pt>
                <c:pt idx="14">
                  <c:v>45148</c:v>
                </c:pt>
                <c:pt idx="15">
                  <c:v>45149</c:v>
                </c:pt>
                <c:pt idx="16">
                  <c:v>45150</c:v>
                </c:pt>
                <c:pt idx="17">
                  <c:v>45151</c:v>
                </c:pt>
                <c:pt idx="18">
                  <c:v>45152</c:v>
                </c:pt>
                <c:pt idx="19">
                  <c:v>45153</c:v>
                </c:pt>
                <c:pt idx="20">
                  <c:v>45154</c:v>
                </c:pt>
                <c:pt idx="21">
                  <c:v>45155</c:v>
                </c:pt>
                <c:pt idx="22">
                  <c:v>45156</c:v>
                </c:pt>
                <c:pt idx="23">
                  <c:v>45157</c:v>
                </c:pt>
                <c:pt idx="24">
                  <c:v>45158</c:v>
                </c:pt>
                <c:pt idx="25">
                  <c:v>45159</c:v>
                </c:pt>
                <c:pt idx="26">
                  <c:v>45160</c:v>
                </c:pt>
                <c:pt idx="27">
                  <c:v>45161</c:v>
                </c:pt>
                <c:pt idx="28">
                  <c:v>45162</c:v>
                </c:pt>
                <c:pt idx="29">
                  <c:v>45163</c:v>
                </c:pt>
                <c:pt idx="30">
                  <c:v>45164</c:v>
                </c:pt>
                <c:pt idx="31">
                  <c:v>45165</c:v>
                </c:pt>
                <c:pt idx="32">
                  <c:v>45166</c:v>
                </c:pt>
                <c:pt idx="33">
                  <c:v>45167</c:v>
                </c:pt>
                <c:pt idx="34">
                  <c:v>45168</c:v>
                </c:pt>
                <c:pt idx="35">
                  <c:v>45169</c:v>
                </c:pt>
              </c:numCache>
            </c:numRef>
          </c:xVal>
          <c:yVal>
            <c:numRef>
              <c:f>'Compresor Salinas'!$E$4:$E$39</c:f>
            </c:numRef>
          </c:yVal>
          <c:smooth val="0"/>
          <c:extLst>
            <c:ext xmlns:c16="http://schemas.microsoft.com/office/drawing/2014/chart" uri="{C3380CC4-5D6E-409C-BE32-E72D297353CC}">
              <c16:uniqueId val="{00000006-273A-46FE-BB1D-56B0FE88ED3C}"/>
            </c:ext>
          </c:extLst>
        </c:ser>
        <c:ser>
          <c:idx val="3"/>
          <c:order val="3"/>
          <c:tx>
            <c:strRef>
              <c:f>'Compresor Salinas'!$F$3</c:f>
              <c:strCache>
                <c:ptCount val="1"/>
                <c:pt idx="0">
                  <c:v>Presion de descarga etapa 3 (Psig)</c:v>
                </c:pt>
              </c:strCache>
            </c:strRef>
          </c:tx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'Compresor Salinas'!$B$4:$B$39</c:f>
              <c:numCache>
                <c:formatCode>m/d/yyyy</c:formatCode>
                <c:ptCount val="36"/>
                <c:pt idx="0">
                  <c:v>45134</c:v>
                </c:pt>
                <c:pt idx="1">
                  <c:v>45135</c:v>
                </c:pt>
                <c:pt idx="2">
                  <c:v>45136</c:v>
                </c:pt>
                <c:pt idx="3">
                  <c:v>45137</c:v>
                </c:pt>
                <c:pt idx="4">
                  <c:v>45138</c:v>
                </c:pt>
                <c:pt idx="5">
                  <c:v>45139</c:v>
                </c:pt>
                <c:pt idx="6">
                  <c:v>45140</c:v>
                </c:pt>
                <c:pt idx="7">
                  <c:v>45141</c:v>
                </c:pt>
                <c:pt idx="8">
                  <c:v>45142</c:v>
                </c:pt>
                <c:pt idx="9">
                  <c:v>45143</c:v>
                </c:pt>
                <c:pt idx="10">
                  <c:v>45144</c:v>
                </c:pt>
                <c:pt idx="11">
                  <c:v>45145</c:v>
                </c:pt>
                <c:pt idx="12">
                  <c:v>45146</c:v>
                </c:pt>
                <c:pt idx="13">
                  <c:v>45147</c:v>
                </c:pt>
                <c:pt idx="14">
                  <c:v>45148</c:v>
                </c:pt>
                <c:pt idx="15">
                  <c:v>45149</c:v>
                </c:pt>
                <c:pt idx="16">
                  <c:v>45150</c:v>
                </c:pt>
                <c:pt idx="17">
                  <c:v>45151</c:v>
                </c:pt>
                <c:pt idx="18">
                  <c:v>45152</c:v>
                </c:pt>
                <c:pt idx="19">
                  <c:v>45153</c:v>
                </c:pt>
                <c:pt idx="20">
                  <c:v>45154</c:v>
                </c:pt>
                <c:pt idx="21">
                  <c:v>45155</c:v>
                </c:pt>
                <c:pt idx="22">
                  <c:v>45156</c:v>
                </c:pt>
                <c:pt idx="23">
                  <c:v>45157</c:v>
                </c:pt>
                <c:pt idx="24">
                  <c:v>45158</c:v>
                </c:pt>
                <c:pt idx="25">
                  <c:v>45159</c:v>
                </c:pt>
                <c:pt idx="26">
                  <c:v>45160</c:v>
                </c:pt>
                <c:pt idx="27">
                  <c:v>45161</c:v>
                </c:pt>
                <c:pt idx="28">
                  <c:v>45162</c:v>
                </c:pt>
                <c:pt idx="29">
                  <c:v>45163</c:v>
                </c:pt>
                <c:pt idx="30">
                  <c:v>45164</c:v>
                </c:pt>
                <c:pt idx="31">
                  <c:v>45165</c:v>
                </c:pt>
                <c:pt idx="32">
                  <c:v>45166</c:v>
                </c:pt>
                <c:pt idx="33">
                  <c:v>45167</c:v>
                </c:pt>
                <c:pt idx="34">
                  <c:v>45168</c:v>
                </c:pt>
                <c:pt idx="35">
                  <c:v>45169</c:v>
                </c:pt>
              </c:numCache>
            </c:numRef>
          </c:xVal>
          <c:yVal>
            <c:numRef>
              <c:f>'Compresor Salinas'!$F$4:$F$39</c:f>
              <c:numCache>
                <c:formatCode>0</c:formatCode>
                <c:ptCount val="36"/>
                <c:pt idx="0">
                  <c:v>500</c:v>
                </c:pt>
                <c:pt idx="1">
                  <c:v>500</c:v>
                </c:pt>
                <c:pt idx="2">
                  <c:v>494</c:v>
                </c:pt>
                <c:pt idx="3">
                  <c:v>495</c:v>
                </c:pt>
                <c:pt idx="4">
                  <c:v>498</c:v>
                </c:pt>
                <c:pt idx="5">
                  <c:v>497</c:v>
                </c:pt>
                <c:pt idx="6">
                  <c:v>500</c:v>
                </c:pt>
                <c:pt idx="7" formatCode="General">
                  <c:v>500</c:v>
                </c:pt>
                <c:pt idx="8" formatCode="General">
                  <c:v>496</c:v>
                </c:pt>
                <c:pt idx="9">
                  <c:v>496</c:v>
                </c:pt>
                <c:pt idx="10">
                  <c:v>496</c:v>
                </c:pt>
                <c:pt idx="11">
                  <c:v>496</c:v>
                </c:pt>
                <c:pt idx="12" formatCode="General">
                  <c:v>494</c:v>
                </c:pt>
                <c:pt idx="13">
                  <c:v>500</c:v>
                </c:pt>
                <c:pt idx="14">
                  <c:v>498</c:v>
                </c:pt>
                <c:pt idx="15">
                  <c:v>497</c:v>
                </c:pt>
                <c:pt idx="16">
                  <c:v>500</c:v>
                </c:pt>
                <c:pt idx="17">
                  <c:v>498</c:v>
                </c:pt>
                <c:pt idx="18">
                  <c:v>498</c:v>
                </c:pt>
                <c:pt idx="19">
                  <c:v>498</c:v>
                </c:pt>
                <c:pt idx="20">
                  <c:v>498</c:v>
                </c:pt>
                <c:pt idx="21" formatCode="General">
                  <c:v>498</c:v>
                </c:pt>
                <c:pt idx="22">
                  <c:v>500</c:v>
                </c:pt>
                <c:pt idx="23" formatCode="General">
                  <c:v>500</c:v>
                </c:pt>
                <c:pt idx="24" formatCode="General">
                  <c:v>500</c:v>
                </c:pt>
                <c:pt idx="25">
                  <c:v>500</c:v>
                </c:pt>
                <c:pt idx="26">
                  <c:v>500</c:v>
                </c:pt>
                <c:pt idx="27">
                  <c:v>500</c:v>
                </c:pt>
                <c:pt idx="28">
                  <c:v>500</c:v>
                </c:pt>
                <c:pt idx="29" formatCode="General">
                  <c:v>500</c:v>
                </c:pt>
                <c:pt idx="30" formatCode="General">
                  <c:v>500</c:v>
                </c:pt>
                <c:pt idx="31" formatCode="General">
                  <c:v>500</c:v>
                </c:pt>
                <c:pt idx="32" formatCode="General">
                  <c:v>500</c:v>
                </c:pt>
                <c:pt idx="33" formatCode="General">
                  <c:v>500</c:v>
                </c:pt>
                <c:pt idx="34" formatCode="General">
                  <c:v>500</c:v>
                </c:pt>
                <c:pt idx="35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73A-46FE-BB1D-56B0FE88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815711"/>
        <c:axId val="1675700751"/>
      </c:scatterChart>
      <c:valAx>
        <c:axId val="1989815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5700751"/>
        <c:crosses val="autoZero"/>
        <c:crossBetween val="midCat"/>
      </c:valAx>
      <c:valAx>
        <c:axId val="1675700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898157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TEMPERATURA</a:t>
            </a:r>
            <a:r>
              <a:rPr lang="en-US" b="1" baseline="0">
                <a:solidFill>
                  <a:sysClr val="windowText" lastClr="000000"/>
                </a:solidFill>
              </a:rPr>
              <a:t> VS TIEMPO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'Compresor Salinas'!$C$3</c:f>
              <c:strCache>
                <c:ptCount val="1"/>
                <c:pt idx="0">
                  <c:v>Presión de succión etapa 1 (Psig)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'Compresor Salinas'!$B$4:$B$39</c:f>
              <c:numCache>
                <c:formatCode>m/d/yyyy</c:formatCode>
                <c:ptCount val="36"/>
                <c:pt idx="0">
                  <c:v>45134</c:v>
                </c:pt>
                <c:pt idx="1">
                  <c:v>45135</c:v>
                </c:pt>
                <c:pt idx="2">
                  <c:v>45136</c:v>
                </c:pt>
                <c:pt idx="3">
                  <c:v>45137</c:v>
                </c:pt>
                <c:pt idx="4">
                  <c:v>45138</c:v>
                </c:pt>
                <c:pt idx="5">
                  <c:v>45139</c:v>
                </c:pt>
                <c:pt idx="6">
                  <c:v>45140</c:v>
                </c:pt>
                <c:pt idx="7">
                  <c:v>45141</c:v>
                </c:pt>
                <c:pt idx="8">
                  <c:v>45142</c:v>
                </c:pt>
                <c:pt idx="9">
                  <c:v>45143</c:v>
                </c:pt>
                <c:pt idx="10">
                  <c:v>45144</c:v>
                </c:pt>
                <c:pt idx="11">
                  <c:v>45145</c:v>
                </c:pt>
                <c:pt idx="12">
                  <c:v>45146</c:v>
                </c:pt>
                <c:pt idx="13">
                  <c:v>45147</c:v>
                </c:pt>
                <c:pt idx="14">
                  <c:v>45148</c:v>
                </c:pt>
                <c:pt idx="15">
                  <c:v>45149</c:v>
                </c:pt>
                <c:pt idx="16">
                  <c:v>45150</c:v>
                </c:pt>
                <c:pt idx="17">
                  <c:v>45151</c:v>
                </c:pt>
                <c:pt idx="18">
                  <c:v>45152</c:v>
                </c:pt>
                <c:pt idx="19">
                  <c:v>45153</c:v>
                </c:pt>
                <c:pt idx="20">
                  <c:v>45154</c:v>
                </c:pt>
                <c:pt idx="21">
                  <c:v>45155</c:v>
                </c:pt>
                <c:pt idx="22">
                  <c:v>45156</c:v>
                </c:pt>
                <c:pt idx="23">
                  <c:v>45157</c:v>
                </c:pt>
                <c:pt idx="24">
                  <c:v>45158</c:v>
                </c:pt>
                <c:pt idx="25">
                  <c:v>45159</c:v>
                </c:pt>
                <c:pt idx="26">
                  <c:v>45160</c:v>
                </c:pt>
                <c:pt idx="27">
                  <c:v>45161</c:v>
                </c:pt>
                <c:pt idx="28">
                  <c:v>45162</c:v>
                </c:pt>
                <c:pt idx="29">
                  <c:v>45163</c:v>
                </c:pt>
                <c:pt idx="30">
                  <c:v>45164</c:v>
                </c:pt>
                <c:pt idx="31">
                  <c:v>45165</c:v>
                </c:pt>
                <c:pt idx="32">
                  <c:v>45166</c:v>
                </c:pt>
                <c:pt idx="33">
                  <c:v>45167</c:v>
                </c:pt>
                <c:pt idx="34">
                  <c:v>45168</c:v>
                </c:pt>
                <c:pt idx="35">
                  <c:v>45169</c:v>
                </c:pt>
              </c:numCache>
            </c:numRef>
          </c:xVal>
          <c:yVal>
            <c:numRef>
              <c:f>'Compresor Salinas'!$C$4:$C$39</c:f>
            </c:numRef>
          </c:yVal>
          <c:smooth val="0"/>
          <c:extLst>
            <c:ext xmlns:c16="http://schemas.microsoft.com/office/drawing/2014/chart" uri="{C3380CC4-5D6E-409C-BE32-E72D297353CC}">
              <c16:uniqueId val="{00000000-DD73-46AD-9594-E7DC7446608A}"/>
            </c:ext>
          </c:extLst>
        </c:ser>
        <c:ser>
          <c:idx val="1"/>
          <c:order val="1"/>
          <c:tx>
            <c:strRef>
              <c:f>'Compresor Salinas'!$D$3</c:f>
              <c:strCache>
                <c:ptCount val="1"/>
                <c:pt idx="0">
                  <c:v>Presion de descarga 1 (Psig)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'Compresor Salinas'!$B$4:$B$39</c:f>
              <c:numCache>
                <c:formatCode>m/d/yyyy</c:formatCode>
                <c:ptCount val="36"/>
                <c:pt idx="0">
                  <c:v>45134</c:v>
                </c:pt>
                <c:pt idx="1">
                  <c:v>45135</c:v>
                </c:pt>
                <c:pt idx="2">
                  <c:v>45136</c:v>
                </c:pt>
                <c:pt idx="3">
                  <c:v>45137</c:v>
                </c:pt>
                <c:pt idx="4">
                  <c:v>45138</c:v>
                </c:pt>
                <c:pt idx="5">
                  <c:v>45139</c:v>
                </c:pt>
                <c:pt idx="6">
                  <c:v>45140</c:v>
                </c:pt>
                <c:pt idx="7">
                  <c:v>45141</c:v>
                </c:pt>
                <c:pt idx="8">
                  <c:v>45142</c:v>
                </c:pt>
                <c:pt idx="9">
                  <c:v>45143</c:v>
                </c:pt>
                <c:pt idx="10">
                  <c:v>45144</c:v>
                </c:pt>
                <c:pt idx="11">
                  <c:v>45145</c:v>
                </c:pt>
                <c:pt idx="12">
                  <c:v>45146</c:v>
                </c:pt>
                <c:pt idx="13">
                  <c:v>45147</c:v>
                </c:pt>
                <c:pt idx="14">
                  <c:v>45148</c:v>
                </c:pt>
                <c:pt idx="15">
                  <c:v>45149</c:v>
                </c:pt>
                <c:pt idx="16">
                  <c:v>45150</c:v>
                </c:pt>
                <c:pt idx="17">
                  <c:v>45151</c:v>
                </c:pt>
                <c:pt idx="18">
                  <c:v>45152</c:v>
                </c:pt>
                <c:pt idx="19">
                  <c:v>45153</c:v>
                </c:pt>
                <c:pt idx="20">
                  <c:v>45154</c:v>
                </c:pt>
                <c:pt idx="21">
                  <c:v>45155</c:v>
                </c:pt>
                <c:pt idx="22">
                  <c:v>45156</c:v>
                </c:pt>
                <c:pt idx="23">
                  <c:v>45157</c:v>
                </c:pt>
                <c:pt idx="24">
                  <c:v>45158</c:v>
                </c:pt>
                <c:pt idx="25">
                  <c:v>45159</c:v>
                </c:pt>
                <c:pt idx="26">
                  <c:v>45160</c:v>
                </c:pt>
                <c:pt idx="27">
                  <c:v>45161</c:v>
                </c:pt>
                <c:pt idx="28">
                  <c:v>45162</c:v>
                </c:pt>
                <c:pt idx="29">
                  <c:v>45163</c:v>
                </c:pt>
                <c:pt idx="30">
                  <c:v>45164</c:v>
                </c:pt>
                <c:pt idx="31">
                  <c:v>45165</c:v>
                </c:pt>
                <c:pt idx="32">
                  <c:v>45166</c:v>
                </c:pt>
                <c:pt idx="33">
                  <c:v>45167</c:v>
                </c:pt>
                <c:pt idx="34">
                  <c:v>45168</c:v>
                </c:pt>
                <c:pt idx="35">
                  <c:v>45169</c:v>
                </c:pt>
              </c:numCache>
            </c:numRef>
          </c:xVal>
          <c:yVal>
            <c:numRef>
              <c:f>'Compresor Salinas'!$D$4:$D$39</c:f>
            </c:numRef>
          </c:yVal>
          <c:smooth val="0"/>
          <c:extLst>
            <c:ext xmlns:c16="http://schemas.microsoft.com/office/drawing/2014/chart" uri="{C3380CC4-5D6E-409C-BE32-E72D297353CC}">
              <c16:uniqueId val="{00000001-DD73-46AD-9594-E7DC7446608A}"/>
            </c:ext>
          </c:extLst>
        </c:ser>
        <c:ser>
          <c:idx val="2"/>
          <c:order val="2"/>
          <c:tx>
            <c:strRef>
              <c:f>'Compresor Salinas'!$E$3</c:f>
              <c:strCache>
                <c:ptCount val="1"/>
                <c:pt idx="0">
                  <c:v>Presión de descarga etapa 2 (Psig)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'Compresor Salinas'!$B$4:$B$39</c:f>
              <c:numCache>
                <c:formatCode>m/d/yyyy</c:formatCode>
                <c:ptCount val="36"/>
                <c:pt idx="0">
                  <c:v>45134</c:v>
                </c:pt>
                <c:pt idx="1">
                  <c:v>45135</c:v>
                </c:pt>
                <c:pt idx="2">
                  <c:v>45136</c:v>
                </c:pt>
                <c:pt idx="3">
                  <c:v>45137</c:v>
                </c:pt>
                <c:pt idx="4">
                  <c:v>45138</c:v>
                </c:pt>
                <c:pt idx="5">
                  <c:v>45139</c:v>
                </c:pt>
                <c:pt idx="6">
                  <c:v>45140</c:v>
                </c:pt>
                <c:pt idx="7">
                  <c:v>45141</c:v>
                </c:pt>
                <c:pt idx="8">
                  <c:v>45142</c:v>
                </c:pt>
                <c:pt idx="9">
                  <c:v>45143</c:v>
                </c:pt>
                <c:pt idx="10">
                  <c:v>45144</c:v>
                </c:pt>
                <c:pt idx="11">
                  <c:v>45145</c:v>
                </c:pt>
                <c:pt idx="12">
                  <c:v>45146</c:v>
                </c:pt>
                <c:pt idx="13">
                  <c:v>45147</c:v>
                </c:pt>
                <c:pt idx="14">
                  <c:v>45148</c:v>
                </c:pt>
                <c:pt idx="15">
                  <c:v>45149</c:v>
                </c:pt>
                <c:pt idx="16">
                  <c:v>45150</c:v>
                </c:pt>
                <c:pt idx="17">
                  <c:v>45151</c:v>
                </c:pt>
                <c:pt idx="18">
                  <c:v>45152</c:v>
                </c:pt>
                <c:pt idx="19">
                  <c:v>45153</c:v>
                </c:pt>
                <c:pt idx="20">
                  <c:v>45154</c:v>
                </c:pt>
                <c:pt idx="21">
                  <c:v>45155</c:v>
                </c:pt>
                <c:pt idx="22">
                  <c:v>45156</c:v>
                </c:pt>
                <c:pt idx="23">
                  <c:v>45157</c:v>
                </c:pt>
                <c:pt idx="24">
                  <c:v>45158</c:v>
                </c:pt>
                <c:pt idx="25">
                  <c:v>45159</c:v>
                </c:pt>
                <c:pt idx="26">
                  <c:v>45160</c:v>
                </c:pt>
                <c:pt idx="27">
                  <c:v>45161</c:v>
                </c:pt>
                <c:pt idx="28">
                  <c:v>45162</c:v>
                </c:pt>
                <c:pt idx="29">
                  <c:v>45163</c:v>
                </c:pt>
                <c:pt idx="30">
                  <c:v>45164</c:v>
                </c:pt>
                <c:pt idx="31">
                  <c:v>45165</c:v>
                </c:pt>
                <c:pt idx="32">
                  <c:v>45166</c:v>
                </c:pt>
                <c:pt idx="33">
                  <c:v>45167</c:v>
                </c:pt>
                <c:pt idx="34">
                  <c:v>45168</c:v>
                </c:pt>
                <c:pt idx="35">
                  <c:v>45169</c:v>
                </c:pt>
              </c:numCache>
            </c:numRef>
          </c:xVal>
          <c:yVal>
            <c:numRef>
              <c:f>'Compresor Salinas'!$E$4:$E$39</c:f>
            </c:numRef>
          </c:yVal>
          <c:smooth val="0"/>
          <c:extLst>
            <c:ext xmlns:c16="http://schemas.microsoft.com/office/drawing/2014/chart" uri="{C3380CC4-5D6E-409C-BE32-E72D297353CC}">
              <c16:uniqueId val="{00000002-DD73-46AD-9594-E7DC7446608A}"/>
            </c:ext>
          </c:extLst>
        </c:ser>
        <c:ser>
          <c:idx val="5"/>
          <c:order val="3"/>
          <c:tx>
            <c:strRef>
              <c:f>'Compresor Salinas'!$H$3</c:f>
              <c:strCache>
                <c:ptCount val="1"/>
                <c:pt idx="0">
                  <c:v>Temperatura °F cilindro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'Compresor Salinas'!$B$4:$B$39</c:f>
              <c:numCache>
                <c:formatCode>m/d/yyyy</c:formatCode>
                <c:ptCount val="36"/>
                <c:pt idx="0">
                  <c:v>45134</c:v>
                </c:pt>
                <c:pt idx="1">
                  <c:v>45135</c:v>
                </c:pt>
                <c:pt idx="2">
                  <c:v>45136</c:v>
                </c:pt>
                <c:pt idx="3">
                  <c:v>45137</c:v>
                </c:pt>
                <c:pt idx="4">
                  <c:v>45138</c:v>
                </c:pt>
                <c:pt idx="5">
                  <c:v>45139</c:v>
                </c:pt>
                <c:pt idx="6">
                  <c:v>45140</c:v>
                </c:pt>
                <c:pt idx="7">
                  <c:v>45141</c:v>
                </c:pt>
                <c:pt idx="8">
                  <c:v>45142</c:v>
                </c:pt>
                <c:pt idx="9">
                  <c:v>45143</c:v>
                </c:pt>
                <c:pt idx="10">
                  <c:v>45144</c:v>
                </c:pt>
                <c:pt idx="11">
                  <c:v>45145</c:v>
                </c:pt>
                <c:pt idx="12">
                  <c:v>45146</c:v>
                </c:pt>
                <c:pt idx="13">
                  <c:v>45147</c:v>
                </c:pt>
                <c:pt idx="14">
                  <c:v>45148</c:v>
                </c:pt>
                <c:pt idx="15">
                  <c:v>45149</c:v>
                </c:pt>
                <c:pt idx="16">
                  <c:v>45150</c:v>
                </c:pt>
                <c:pt idx="17">
                  <c:v>45151</c:v>
                </c:pt>
                <c:pt idx="18">
                  <c:v>45152</c:v>
                </c:pt>
                <c:pt idx="19">
                  <c:v>45153</c:v>
                </c:pt>
                <c:pt idx="20">
                  <c:v>45154</c:v>
                </c:pt>
                <c:pt idx="21">
                  <c:v>45155</c:v>
                </c:pt>
                <c:pt idx="22">
                  <c:v>45156</c:v>
                </c:pt>
                <c:pt idx="23">
                  <c:v>45157</c:v>
                </c:pt>
                <c:pt idx="24">
                  <c:v>45158</c:v>
                </c:pt>
                <c:pt idx="25">
                  <c:v>45159</c:v>
                </c:pt>
                <c:pt idx="26">
                  <c:v>45160</c:v>
                </c:pt>
                <c:pt idx="27">
                  <c:v>45161</c:v>
                </c:pt>
                <c:pt idx="28">
                  <c:v>45162</c:v>
                </c:pt>
                <c:pt idx="29">
                  <c:v>45163</c:v>
                </c:pt>
                <c:pt idx="30">
                  <c:v>45164</c:v>
                </c:pt>
                <c:pt idx="31">
                  <c:v>45165</c:v>
                </c:pt>
                <c:pt idx="32">
                  <c:v>45166</c:v>
                </c:pt>
                <c:pt idx="33">
                  <c:v>45167</c:v>
                </c:pt>
                <c:pt idx="34">
                  <c:v>45168</c:v>
                </c:pt>
                <c:pt idx="35">
                  <c:v>45169</c:v>
                </c:pt>
              </c:numCache>
            </c:numRef>
          </c:xVal>
          <c:yVal>
            <c:numRef>
              <c:f>'Compresor Salinas'!$H$4:$H$39</c:f>
              <c:numCache>
                <c:formatCode>0</c:formatCode>
                <c:ptCount val="36"/>
                <c:pt idx="0">
                  <c:v>150</c:v>
                </c:pt>
                <c:pt idx="1">
                  <c:v>145</c:v>
                </c:pt>
                <c:pt idx="2">
                  <c:v>155</c:v>
                </c:pt>
                <c:pt idx="3">
                  <c:v>150</c:v>
                </c:pt>
                <c:pt idx="4">
                  <c:v>155</c:v>
                </c:pt>
                <c:pt idx="5">
                  <c:v>158</c:v>
                </c:pt>
                <c:pt idx="6">
                  <c:v>157</c:v>
                </c:pt>
                <c:pt idx="7">
                  <c:v>154</c:v>
                </c:pt>
                <c:pt idx="8">
                  <c:v>153</c:v>
                </c:pt>
                <c:pt idx="9">
                  <c:v>150</c:v>
                </c:pt>
                <c:pt idx="10">
                  <c:v>152</c:v>
                </c:pt>
                <c:pt idx="11">
                  <c:v>150</c:v>
                </c:pt>
                <c:pt idx="12" formatCode="General">
                  <c:v>155</c:v>
                </c:pt>
                <c:pt idx="13">
                  <c:v>150</c:v>
                </c:pt>
                <c:pt idx="14">
                  <c:v>145</c:v>
                </c:pt>
                <c:pt idx="15">
                  <c:v>140</c:v>
                </c:pt>
                <c:pt idx="16">
                  <c:v>150</c:v>
                </c:pt>
                <c:pt idx="17">
                  <c:v>153</c:v>
                </c:pt>
                <c:pt idx="18">
                  <c:v>156</c:v>
                </c:pt>
                <c:pt idx="19">
                  <c:v>155</c:v>
                </c:pt>
                <c:pt idx="20">
                  <c:v>150</c:v>
                </c:pt>
                <c:pt idx="21">
                  <c:v>154</c:v>
                </c:pt>
                <c:pt idx="22">
                  <c:v>140</c:v>
                </c:pt>
                <c:pt idx="23">
                  <c:v>130</c:v>
                </c:pt>
                <c:pt idx="24">
                  <c:v>160</c:v>
                </c:pt>
                <c:pt idx="25">
                  <c:v>150</c:v>
                </c:pt>
                <c:pt idx="26">
                  <c:v>158</c:v>
                </c:pt>
                <c:pt idx="27">
                  <c:v>140</c:v>
                </c:pt>
                <c:pt idx="28">
                  <c:v>130</c:v>
                </c:pt>
                <c:pt idx="29">
                  <c:v>140</c:v>
                </c:pt>
                <c:pt idx="30">
                  <c:v>150</c:v>
                </c:pt>
                <c:pt idx="31">
                  <c:v>155</c:v>
                </c:pt>
                <c:pt idx="32">
                  <c:v>150</c:v>
                </c:pt>
                <c:pt idx="33">
                  <c:v>160</c:v>
                </c:pt>
                <c:pt idx="34">
                  <c:v>160</c:v>
                </c:pt>
                <c:pt idx="35">
                  <c:v>155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D73-46AD-9594-E7DC74466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8144751"/>
        <c:axId val="1563281007"/>
      </c:scatterChart>
      <c:valAx>
        <c:axId val="19881447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281007"/>
        <c:crosses val="autoZero"/>
        <c:crossBetween val="midCat"/>
      </c:valAx>
      <c:valAx>
        <c:axId val="1563281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881447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1903</xdr:colOff>
      <xdr:row>4</xdr:row>
      <xdr:rowOff>54767</xdr:rowOff>
    </xdr:from>
    <xdr:to>
      <xdr:col>18</xdr:col>
      <xdr:colOff>714374</xdr:colOff>
      <xdr:row>20</xdr:row>
      <xdr:rowOff>170814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0B0F8E-19E4-EBD8-0A5A-9775BCE44A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</xdr:colOff>
      <xdr:row>23</xdr:row>
      <xdr:rowOff>15081</xdr:rowOff>
    </xdr:from>
    <xdr:to>
      <xdr:col>21</xdr:col>
      <xdr:colOff>480378</xdr:colOff>
      <xdr:row>39</xdr:row>
      <xdr:rowOff>122873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670BCE0-0014-C860-CCB8-3B4A351620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19687</xdr:colOff>
      <xdr:row>40</xdr:row>
      <xdr:rowOff>136684</xdr:rowOff>
    </xdr:from>
    <xdr:to>
      <xdr:col>21</xdr:col>
      <xdr:colOff>468313</xdr:colOff>
      <xdr:row>56</xdr:row>
      <xdr:rowOff>154782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5CD07FC-D273-1F7C-C8DE-2CB3ACE650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C78B-0AA3-4E3D-A335-6BC64E3DD2C8}">
  <dimension ref="B1:M112"/>
  <sheetViews>
    <sheetView zoomScale="120" zoomScaleNormal="120" workbookViewId="0">
      <selection activeCell="K14" sqref="K14"/>
    </sheetView>
  </sheetViews>
  <sheetFormatPr baseColWidth="10" defaultRowHeight="14.5" x14ac:dyDescent="0.35"/>
  <cols>
    <col min="1" max="1" width="3.7265625" customWidth="1"/>
    <col min="3" max="3" width="24.26953125" hidden="1" customWidth="1"/>
    <col min="4" max="4" width="34.81640625" hidden="1" customWidth="1"/>
    <col min="5" max="5" width="23.81640625" hidden="1" customWidth="1"/>
    <col min="6" max="6" width="31.453125" customWidth="1"/>
    <col min="7" max="7" width="5.81640625" hidden="1" customWidth="1"/>
    <col min="8" max="8" width="20.54296875" customWidth="1"/>
    <col min="9" max="9" width="19.54296875" customWidth="1"/>
  </cols>
  <sheetData>
    <row r="1" spans="2:9" ht="15" thickBot="1" x14ac:dyDescent="0.4"/>
    <row r="2" spans="2:9" ht="15" thickBot="1" x14ac:dyDescent="0.4">
      <c r="B2" s="73" t="s">
        <v>6</v>
      </c>
      <c r="C2" s="74"/>
      <c r="D2" s="74"/>
      <c r="E2" s="74"/>
      <c r="F2" s="74"/>
      <c r="G2" s="74"/>
      <c r="H2" s="74"/>
      <c r="I2" s="75"/>
    </row>
    <row r="3" spans="2:9" ht="73" thickBot="1" x14ac:dyDescent="0.4">
      <c r="B3" s="12" t="s">
        <v>0</v>
      </c>
      <c r="C3" s="13" t="s">
        <v>2</v>
      </c>
      <c r="D3" s="14" t="s">
        <v>3</v>
      </c>
      <c r="E3" s="13" t="s">
        <v>7</v>
      </c>
      <c r="F3" s="13" t="s">
        <v>8</v>
      </c>
      <c r="G3" s="13" t="s">
        <v>4</v>
      </c>
      <c r="H3" s="13" t="s">
        <v>5</v>
      </c>
      <c r="I3" s="15" t="s">
        <v>1</v>
      </c>
    </row>
    <row r="4" spans="2:9" x14ac:dyDescent="0.35">
      <c r="B4" s="9">
        <v>45134</v>
      </c>
      <c r="C4" s="10">
        <f>+(1+1.5+1.5+1.5+1.5)/5</f>
        <v>1.4</v>
      </c>
      <c r="D4" s="10">
        <f>+(30+30+32+30+30)/5</f>
        <v>30.4</v>
      </c>
      <c r="E4" s="10">
        <v>150</v>
      </c>
      <c r="F4" s="23">
        <v>500</v>
      </c>
      <c r="G4" s="24">
        <f>+(222+224+226)/3</f>
        <v>224</v>
      </c>
      <c r="H4" s="23">
        <v>150</v>
      </c>
      <c r="I4" s="11">
        <f>+(896+902+907+905+902)/5</f>
        <v>902.4</v>
      </c>
    </row>
    <row r="5" spans="2:9" x14ac:dyDescent="0.35">
      <c r="B5" s="2">
        <v>45135</v>
      </c>
      <c r="C5" s="5"/>
      <c r="D5" s="4"/>
      <c r="E5" s="4"/>
      <c r="F5" s="7">
        <v>500</v>
      </c>
      <c r="G5" s="4"/>
      <c r="H5" s="7">
        <v>145</v>
      </c>
      <c r="I5" s="6"/>
    </row>
    <row r="6" spans="2:9" x14ac:dyDescent="0.35">
      <c r="B6" s="2">
        <v>45136</v>
      </c>
      <c r="C6" s="5">
        <v>1.5</v>
      </c>
      <c r="D6" s="4">
        <v>30</v>
      </c>
      <c r="E6" s="4">
        <v>150</v>
      </c>
      <c r="F6" s="7">
        <v>494</v>
      </c>
      <c r="G6" s="4"/>
      <c r="H6" s="7">
        <v>155</v>
      </c>
      <c r="I6" s="6">
        <f>+(907+910+906)/3</f>
        <v>907.66666666666663</v>
      </c>
    </row>
    <row r="7" spans="2:9" x14ac:dyDescent="0.35">
      <c r="B7" s="2">
        <v>45137</v>
      </c>
      <c r="C7" s="5">
        <f>+(1.5+1.5+2+1+1.5)/5</f>
        <v>1.5</v>
      </c>
      <c r="D7" s="4">
        <f>+(30+30+30+28+28)/5</f>
        <v>29.2</v>
      </c>
      <c r="E7" s="4">
        <f>+(155+155+155+150+150)/5</f>
        <v>153</v>
      </c>
      <c r="F7" s="7">
        <v>495</v>
      </c>
      <c r="G7" s="4"/>
      <c r="H7" s="7">
        <v>150</v>
      </c>
      <c r="I7" s="6">
        <f>+(912+910+910+907+903)/5</f>
        <v>908.4</v>
      </c>
    </row>
    <row r="8" spans="2:9" x14ac:dyDescent="0.35">
      <c r="B8" s="2">
        <v>45138</v>
      </c>
      <c r="C8" s="3"/>
      <c r="D8" s="3"/>
      <c r="E8" s="3"/>
      <c r="F8" s="7">
        <v>498</v>
      </c>
      <c r="G8" s="4"/>
      <c r="H8" s="7">
        <v>155</v>
      </c>
      <c r="I8" s="3"/>
    </row>
    <row r="9" spans="2:9" x14ac:dyDescent="0.35">
      <c r="B9" s="2">
        <v>45139</v>
      </c>
      <c r="C9" s="8">
        <f>(1.5+1+1.5)/3</f>
        <v>1.3333333333333333</v>
      </c>
      <c r="D9" s="4">
        <v>30</v>
      </c>
      <c r="E9" s="4">
        <v>150</v>
      </c>
      <c r="F9" s="7">
        <v>497</v>
      </c>
      <c r="G9" s="4"/>
      <c r="H9" s="7">
        <v>158</v>
      </c>
      <c r="I9" s="6">
        <f>+(905+900+902)/3</f>
        <v>902.33333333333337</v>
      </c>
    </row>
    <row r="10" spans="2:9" x14ac:dyDescent="0.35">
      <c r="B10" s="2">
        <v>45140</v>
      </c>
      <c r="C10" s="8"/>
      <c r="D10" s="4"/>
      <c r="E10" s="4"/>
      <c r="F10" s="7">
        <v>500</v>
      </c>
      <c r="G10" s="4"/>
      <c r="H10" s="7">
        <v>157</v>
      </c>
      <c r="I10" s="6"/>
    </row>
    <row r="11" spans="2:9" x14ac:dyDescent="0.35">
      <c r="B11" s="2">
        <v>45141</v>
      </c>
      <c r="C11" s="8"/>
      <c r="D11" s="4"/>
      <c r="E11" s="4"/>
      <c r="F11" s="5">
        <v>500</v>
      </c>
      <c r="G11" s="4">
        <v>225</v>
      </c>
      <c r="H11" s="7">
        <v>154</v>
      </c>
      <c r="I11" s="6"/>
    </row>
    <row r="12" spans="2:9" x14ac:dyDescent="0.35">
      <c r="B12" s="2">
        <v>45142</v>
      </c>
      <c r="C12" s="8"/>
      <c r="D12" s="4"/>
      <c r="E12" s="4"/>
      <c r="F12" s="4">
        <f>+(500+500+500+490+490)/5</f>
        <v>496</v>
      </c>
      <c r="G12" s="4">
        <f>+(223+221+226+232+223)/5</f>
        <v>225</v>
      </c>
      <c r="H12" s="7">
        <v>153</v>
      </c>
      <c r="I12" s="6"/>
    </row>
    <row r="13" spans="2:9" x14ac:dyDescent="0.35">
      <c r="B13" s="2">
        <v>45143</v>
      </c>
      <c r="C13" s="8"/>
      <c r="D13" s="4"/>
      <c r="E13" s="4"/>
      <c r="F13" s="7">
        <v>496</v>
      </c>
      <c r="G13" s="4"/>
      <c r="H13" s="7">
        <v>150</v>
      </c>
      <c r="I13" s="6"/>
    </row>
    <row r="14" spans="2:9" x14ac:dyDescent="0.35">
      <c r="B14" s="2">
        <v>45144</v>
      </c>
      <c r="C14" s="8"/>
      <c r="D14" s="4"/>
      <c r="E14" s="4"/>
      <c r="F14" s="7">
        <v>496</v>
      </c>
      <c r="G14" s="4"/>
      <c r="H14" s="7">
        <v>152</v>
      </c>
      <c r="I14" s="6"/>
    </row>
    <row r="15" spans="2:9" x14ac:dyDescent="0.35">
      <c r="B15" s="2">
        <v>45145</v>
      </c>
      <c r="C15" s="8"/>
      <c r="D15" s="4"/>
      <c r="E15" s="4"/>
      <c r="F15" s="7">
        <v>496</v>
      </c>
      <c r="G15" s="4"/>
      <c r="H15" s="7">
        <v>150</v>
      </c>
      <c r="I15" s="6"/>
    </row>
    <row r="16" spans="2:9" x14ac:dyDescent="0.35">
      <c r="B16" s="2">
        <v>45146</v>
      </c>
      <c r="C16" s="8"/>
      <c r="D16" s="4"/>
      <c r="E16" s="4"/>
      <c r="F16" s="4">
        <v>494</v>
      </c>
      <c r="G16" s="4">
        <v>234</v>
      </c>
      <c r="H16" s="4">
        <v>155</v>
      </c>
      <c r="I16" s="6"/>
    </row>
    <row r="17" spans="2:9" x14ac:dyDescent="0.35">
      <c r="B17" s="2">
        <v>45147</v>
      </c>
      <c r="C17" s="8"/>
      <c r="D17" s="4"/>
      <c r="E17" s="4"/>
      <c r="F17" s="7">
        <v>500</v>
      </c>
      <c r="G17" s="4"/>
      <c r="H17" s="7">
        <v>150</v>
      </c>
      <c r="I17" s="6"/>
    </row>
    <row r="18" spans="2:9" x14ac:dyDescent="0.35">
      <c r="B18" s="2">
        <v>45148</v>
      </c>
      <c r="C18" s="8"/>
      <c r="D18" s="4"/>
      <c r="E18" s="4"/>
      <c r="F18" s="7">
        <v>498</v>
      </c>
      <c r="G18" s="4"/>
      <c r="H18" s="7">
        <v>145</v>
      </c>
      <c r="I18" s="6"/>
    </row>
    <row r="19" spans="2:9" x14ac:dyDescent="0.35">
      <c r="B19" s="2">
        <v>45149</v>
      </c>
      <c r="C19" s="8"/>
      <c r="D19" s="4"/>
      <c r="E19" s="4"/>
      <c r="F19" s="7">
        <v>497</v>
      </c>
      <c r="G19" s="4"/>
      <c r="H19" s="7">
        <v>140</v>
      </c>
      <c r="I19" s="6"/>
    </row>
    <row r="20" spans="2:9" x14ac:dyDescent="0.35">
      <c r="B20" s="2">
        <v>45150</v>
      </c>
      <c r="C20" s="8"/>
      <c r="D20" s="4"/>
      <c r="E20" s="4"/>
      <c r="F20" s="7">
        <v>500</v>
      </c>
      <c r="G20" s="7"/>
      <c r="H20" s="7">
        <v>150</v>
      </c>
      <c r="I20" s="6"/>
    </row>
    <row r="21" spans="2:9" x14ac:dyDescent="0.35">
      <c r="B21" s="2">
        <v>45151</v>
      </c>
      <c r="C21" s="8"/>
      <c r="D21" s="4"/>
      <c r="E21" s="4"/>
      <c r="F21" s="7">
        <v>498</v>
      </c>
      <c r="G21" s="4"/>
      <c r="H21" s="7">
        <v>153</v>
      </c>
      <c r="I21" s="6"/>
    </row>
    <row r="22" spans="2:9" x14ac:dyDescent="0.35">
      <c r="B22" s="2">
        <v>45152</v>
      </c>
      <c r="C22" s="8"/>
      <c r="D22" s="4"/>
      <c r="E22" s="4"/>
      <c r="F22" s="7">
        <v>498</v>
      </c>
      <c r="G22" s="4"/>
      <c r="H22" s="7">
        <v>156</v>
      </c>
      <c r="I22" s="6"/>
    </row>
    <row r="23" spans="2:9" x14ac:dyDescent="0.35">
      <c r="B23" s="2">
        <v>45153</v>
      </c>
      <c r="C23" s="8"/>
      <c r="D23" s="4"/>
      <c r="E23" s="4"/>
      <c r="F23" s="7">
        <v>498</v>
      </c>
      <c r="G23" s="4"/>
      <c r="H23" s="7">
        <v>155</v>
      </c>
      <c r="I23" s="6"/>
    </row>
    <row r="24" spans="2:9" x14ac:dyDescent="0.35">
      <c r="B24" s="2">
        <v>45154</v>
      </c>
      <c r="C24" s="8"/>
      <c r="D24" s="4"/>
      <c r="E24" s="4"/>
      <c r="F24" s="7">
        <v>498</v>
      </c>
      <c r="G24" s="4"/>
      <c r="H24" s="7">
        <v>150</v>
      </c>
      <c r="I24" s="6"/>
    </row>
    <row r="25" spans="2:9" x14ac:dyDescent="0.35">
      <c r="B25" s="2">
        <v>45155</v>
      </c>
      <c r="C25" s="8"/>
      <c r="D25" s="4"/>
      <c r="E25" s="4"/>
      <c r="F25" s="4">
        <f>+(500+500+490+500+500)/5</f>
        <v>498</v>
      </c>
      <c r="G25" s="7">
        <f>+(232+235+233+239+232)/5</f>
        <v>234.2</v>
      </c>
      <c r="H25" s="7">
        <v>154</v>
      </c>
      <c r="I25" s="6"/>
    </row>
    <row r="26" spans="2:9" x14ac:dyDescent="0.35">
      <c r="B26" s="2">
        <v>45156</v>
      </c>
      <c r="C26" s="8"/>
      <c r="D26" s="4"/>
      <c r="E26" s="4"/>
      <c r="F26" s="7">
        <v>500</v>
      </c>
      <c r="G26" s="4"/>
      <c r="H26" s="7">
        <v>140</v>
      </c>
      <c r="I26" s="6"/>
    </row>
    <row r="27" spans="2:9" x14ac:dyDescent="0.35">
      <c r="B27" s="2">
        <v>45157</v>
      </c>
      <c r="C27" s="8"/>
      <c r="D27" s="4"/>
      <c r="E27" s="4"/>
      <c r="F27" s="5">
        <v>500</v>
      </c>
      <c r="G27" s="5">
        <f>+(224+217+222+228+224)/5</f>
        <v>223</v>
      </c>
      <c r="H27" s="6">
        <v>130</v>
      </c>
      <c r="I27" s="6"/>
    </row>
    <row r="28" spans="2:9" x14ac:dyDescent="0.35">
      <c r="B28" s="2">
        <v>45158</v>
      </c>
      <c r="C28" s="8"/>
      <c r="D28" s="4"/>
      <c r="E28" s="4"/>
      <c r="F28" s="5">
        <v>500</v>
      </c>
      <c r="G28" s="4">
        <f>+(221+219+226)/3</f>
        <v>222</v>
      </c>
      <c r="H28" s="7">
        <v>160</v>
      </c>
      <c r="I28" s="6"/>
    </row>
    <row r="29" spans="2:9" x14ac:dyDescent="0.35">
      <c r="B29" s="2">
        <v>45159</v>
      </c>
      <c r="C29" s="8"/>
      <c r="D29" s="4"/>
      <c r="E29" s="4"/>
      <c r="F29" s="7">
        <v>500</v>
      </c>
      <c r="G29" s="4"/>
      <c r="H29" s="6">
        <v>150</v>
      </c>
      <c r="I29" s="6"/>
    </row>
    <row r="30" spans="2:9" x14ac:dyDescent="0.35">
      <c r="B30" s="2">
        <v>45160</v>
      </c>
      <c r="C30" s="8"/>
      <c r="D30" s="4"/>
      <c r="E30" s="4"/>
      <c r="F30" s="7">
        <v>500</v>
      </c>
      <c r="G30" s="4"/>
      <c r="H30" s="7">
        <v>158</v>
      </c>
      <c r="I30" s="6"/>
    </row>
    <row r="31" spans="2:9" x14ac:dyDescent="0.35">
      <c r="B31" s="2">
        <v>45161</v>
      </c>
      <c r="C31" s="4">
        <v>0.5</v>
      </c>
      <c r="D31" s="4">
        <v>26</v>
      </c>
      <c r="E31" s="4">
        <v>145</v>
      </c>
      <c r="F31" s="7">
        <v>500</v>
      </c>
      <c r="G31" s="4"/>
      <c r="H31" s="7">
        <v>140</v>
      </c>
      <c r="I31" s="6">
        <f>+(891+887+890+891)/4</f>
        <v>889.75</v>
      </c>
    </row>
    <row r="32" spans="2:9" x14ac:dyDescent="0.35">
      <c r="B32" s="2">
        <v>45162</v>
      </c>
      <c r="C32" s="4">
        <v>0.5</v>
      </c>
      <c r="D32" s="4">
        <v>26</v>
      </c>
      <c r="E32" s="4">
        <v>145</v>
      </c>
      <c r="F32" s="7">
        <v>500</v>
      </c>
      <c r="G32" s="4"/>
      <c r="H32" s="6">
        <v>130</v>
      </c>
      <c r="I32" s="7">
        <f>+(891+887+890+891+889)/5</f>
        <v>889.6</v>
      </c>
    </row>
    <row r="33" spans="2:9" x14ac:dyDescent="0.35">
      <c r="B33" s="2">
        <v>45163</v>
      </c>
      <c r="C33" s="4">
        <f>+(4+4+0.5+1.5+1.5)/5</f>
        <v>2.2999999999999998</v>
      </c>
      <c r="D33" s="7">
        <f>+(24+28+27)/3</f>
        <v>26.333333333333332</v>
      </c>
      <c r="E33" s="4">
        <f>+(140+140+140+150+150)/5</f>
        <v>144</v>
      </c>
      <c r="F33" s="4">
        <v>500</v>
      </c>
      <c r="G33" s="7">
        <f>+(218+218+220+227)/4</f>
        <v>220.75</v>
      </c>
      <c r="H33" s="7">
        <v>140</v>
      </c>
      <c r="I33" s="7">
        <f>+(962+960+901+905+905)/5</f>
        <v>926.6</v>
      </c>
    </row>
    <row r="34" spans="2:9" x14ac:dyDescent="0.35">
      <c r="B34" s="2">
        <v>45164</v>
      </c>
      <c r="C34" s="4">
        <f>+(4+4+1)/3</f>
        <v>3</v>
      </c>
      <c r="D34" s="7">
        <f>+(27+28+26)/3</f>
        <v>27</v>
      </c>
      <c r="E34" s="7">
        <f>+(150+150+140)/3</f>
        <v>146.66666666666666</v>
      </c>
      <c r="F34" s="4">
        <v>500</v>
      </c>
      <c r="G34" s="4">
        <f>+(218+218+220+227+222)/5</f>
        <v>221</v>
      </c>
      <c r="H34" s="6">
        <v>150</v>
      </c>
      <c r="I34" s="7">
        <f>+(904+904+902)/3</f>
        <v>903.33333333333337</v>
      </c>
    </row>
    <row r="35" spans="2:9" x14ac:dyDescent="0.35">
      <c r="B35" s="2">
        <v>45165</v>
      </c>
      <c r="C35" s="4">
        <f>+(2+1.5+2+1.5+1)/5</f>
        <v>1.6</v>
      </c>
      <c r="D35" s="7">
        <f>+(32+30+28+30+30)/5</f>
        <v>30</v>
      </c>
      <c r="E35" s="4">
        <f>+(155+155+150+155+155)/5</f>
        <v>154</v>
      </c>
      <c r="F35" s="4">
        <v>500</v>
      </c>
      <c r="G35" s="7">
        <f>+(229+224+233)/3</f>
        <v>228.66666666666666</v>
      </c>
      <c r="H35" s="7">
        <v>155</v>
      </c>
      <c r="I35" s="7">
        <f>+(897+905+911+907+902)/5</f>
        <v>904.4</v>
      </c>
    </row>
    <row r="36" spans="2:9" x14ac:dyDescent="0.35">
      <c r="B36" s="2">
        <v>45166</v>
      </c>
      <c r="C36" s="4">
        <f>+(1.5+1.5+1.5)/3</f>
        <v>1.5</v>
      </c>
      <c r="D36" s="7">
        <f>+(28+28+30)/3</f>
        <v>28.666666666666668</v>
      </c>
      <c r="E36" s="7">
        <f>+(150+150+155)/3</f>
        <v>151.66666666666666</v>
      </c>
      <c r="F36" s="4">
        <v>500</v>
      </c>
      <c r="G36" s="7">
        <f>+(225+223+232+237+229)/5</f>
        <v>229.2</v>
      </c>
      <c r="H36" s="7">
        <v>150</v>
      </c>
      <c r="I36" s="7">
        <f>+(900+906+903)/3</f>
        <v>903</v>
      </c>
    </row>
    <row r="37" spans="2:9" x14ac:dyDescent="0.35">
      <c r="B37" s="2">
        <v>45167</v>
      </c>
      <c r="C37" s="4">
        <f>+(1.5+1.5+1.5+1+1)/5</f>
        <v>1.3</v>
      </c>
      <c r="D37" s="7">
        <f>+(28+28+30+28+28)/5</f>
        <v>28.4</v>
      </c>
      <c r="E37" s="4">
        <f>+(150+150+155+150+150)/5</f>
        <v>151</v>
      </c>
      <c r="F37" s="4">
        <v>500</v>
      </c>
      <c r="G37" s="7">
        <f>+(228+227+232)/3</f>
        <v>229</v>
      </c>
      <c r="H37" s="7">
        <v>160</v>
      </c>
      <c r="I37" s="7">
        <f>+(900+900+903+908+900)/5</f>
        <v>902.2</v>
      </c>
    </row>
    <row r="38" spans="2:9" x14ac:dyDescent="0.35">
      <c r="B38" s="2">
        <v>45168</v>
      </c>
      <c r="C38" s="4"/>
      <c r="D38" s="7"/>
      <c r="E38" s="4"/>
      <c r="F38" s="4">
        <v>500</v>
      </c>
      <c r="G38" s="7">
        <f>+(228+227+232+237+230)/5</f>
        <v>230.8</v>
      </c>
      <c r="H38" s="7">
        <v>160</v>
      </c>
      <c r="I38" s="7"/>
    </row>
    <row r="39" spans="2:9" x14ac:dyDescent="0.35">
      <c r="B39" s="2">
        <v>45169</v>
      </c>
      <c r="C39" s="4"/>
      <c r="D39" s="7"/>
      <c r="E39" s="4"/>
      <c r="F39" s="7">
        <v>500</v>
      </c>
      <c r="G39" s="4"/>
      <c r="H39" s="7">
        <v>155</v>
      </c>
      <c r="I39" s="7"/>
    </row>
    <row r="40" spans="2:9" x14ac:dyDescent="0.35">
      <c r="B40" s="2" t="s">
        <v>28</v>
      </c>
      <c r="C40" s="4"/>
      <c r="D40" s="7"/>
      <c r="E40" s="4"/>
      <c r="F40" s="22">
        <f>+AVERAGE(F4:F39)</f>
        <v>498.52777777777777</v>
      </c>
      <c r="G40" s="7"/>
      <c r="H40" s="22">
        <f>+AVERAGE(H4:H39)</f>
        <v>150.41666666666666</v>
      </c>
      <c r="I40" s="7"/>
    </row>
    <row r="59" spans="6:6" x14ac:dyDescent="0.35">
      <c r="F59" t="s">
        <v>9</v>
      </c>
    </row>
    <row r="60" spans="6:6" x14ac:dyDescent="0.35">
      <c r="F60" t="s">
        <v>18</v>
      </c>
    </row>
    <row r="61" spans="6:6" x14ac:dyDescent="0.35">
      <c r="F61" t="s">
        <v>10</v>
      </c>
    </row>
    <row r="62" spans="6:6" x14ac:dyDescent="0.35">
      <c r="F62" t="s">
        <v>12</v>
      </c>
    </row>
    <row r="63" spans="6:6" x14ac:dyDescent="0.35">
      <c r="F63" t="s">
        <v>11</v>
      </c>
    </row>
    <row r="67" spans="6:11" x14ac:dyDescent="0.35">
      <c r="F67" s="16" t="s">
        <v>13</v>
      </c>
    </row>
    <row r="68" spans="6:11" x14ac:dyDescent="0.35">
      <c r="I68" t="s">
        <v>17</v>
      </c>
    </row>
    <row r="69" spans="6:11" x14ac:dyDescent="0.35">
      <c r="I69" s="16" t="s">
        <v>21</v>
      </c>
    </row>
    <row r="70" spans="6:11" ht="29" x14ac:dyDescent="0.35">
      <c r="F70" s="6">
        <f>+AVERAGE(H4:H37)</f>
        <v>150</v>
      </c>
      <c r="H70" s="17" t="s">
        <v>14</v>
      </c>
    </row>
    <row r="71" spans="6:11" ht="29" x14ac:dyDescent="0.35">
      <c r="F71" s="5">
        <v>256</v>
      </c>
      <c r="H71" s="17" t="s">
        <v>15</v>
      </c>
    </row>
    <row r="72" spans="6:11" ht="29" x14ac:dyDescent="0.35">
      <c r="F72" s="5">
        <v>262</v>
      </c>
      <c r="H72" s="17" t="s">
        <v>16</v>
      </c>
    </row>
    <row r="74" spans="6:11" x14ac:dyDescent="0.35">
      <c r="F74" t="s">
        <v>22</v>
      </c>
    </row>
    <row r="75" spans="6:11" x14ac:dyDescent="0.35">
      <c r="F75" s="16" t="s">
        <v>24</v>
      </c>
    </row>
    <row r="77" spans="6:11" ht="58" x14ac:dyDescent="0.35">
      <c r="F77" s="5">
        <v>140</v>
      </c>
      <c r="H77" s="18" t="s">
        <v>19</v>
      </c>
      <c r="I77" s="18" t="s">
        <v>23</v>
      </c>
      <c r="J77" s="21">
        <f>+F77*4</f>
        <v>560</v>
      </c>
      <c r="K77" t="s">
        <v>31</v>
      </c>
    </row>
    <row r="79" spans="6:11" x14ac:dyDescent="0.35">
      <c r="F79" s="16" t="s">
        <v>29</v>
      </c>
    </row>
    <row r="80" spans="6:11" x14ac:dyDescent="0.35">
      <c r="F80" s="16" t="s">
        <v>20</v>
      </c>
    </row>
    <row r="83" spans="6:13" ht="58" x14ac:dyDescent="0.35">
      <c r="F83" s="5">
        <v>2600</v>
      </c>
      <c r="H83" s="18" t="s">
        <v>19</v>
      </c>
      <c r="I83" s="18" t="s">
        <v>23</v>
      </c>
      <c r="J83" s="21">
        <f>+F83*4</f>
        <v>10400</v>
      </c>
    </row>
    <row r="85" spans="6:13" x14ac:dyDescent="0.35">
      <c r="F85" s="16" t="s">
        <v>30</v>
      </c>
    </row>
    <row r="86" spans="6:13" x14ac:dyDescent="0.35">
      <c r="F86" s="16" t="s">
        <v>25</v>
      </c>
    </row>
    <row r="88" spans="6:13" ht="58" x14ac:dyDescent="0.35">
      <c r="F88" s="5">
        <v>200</v>
      </c>
      <c r="H88" s="18" t="s">
        <v>19</v>
      </c>
      <c r="I88" s="18" t="s">
        <v>23</v>
      </c>
      <c r="J88" s="5">
        <f>+F88*4</f>
        <v>800</v>
      </c>
    </row>
    <row r="89" spans="6:13" x14ac:dyDescent="0.35">
      <c r="F89" s="19"/>
      <c r="H89" s="20"/>
    </row>
    <row r="90" spans="6:13" x14ac:dyDescent="0.35">
      <c r="F90" t="s">
        <v>32</v>
      </c>
    </row>
    <row r="91" spans="6:13" x14ac:dyDescent="0.35">
      <c r="F91" t="s">
        <v>34</v>
      </c>
    </row>
    <row r="92" spans="6:13" x14ac:dyDescent="0.35">
      <c r="F92" s="16" t="s">
        <v>26</v>
      </c>
    </row>
    <row r="94" spans="6:13" ht="43.5" x14ac:dyDescent="0.35">
      <c r="F94" s="5">
        <v>400</v>
      </c>
      <c r="H94" s="18" t="s">
        <v>19</v>
      </c>
      <c r="L94" s="19"/>
      <c r="M94" s="26"/>
    </row>
    <row r="99" spans="6:9" x14ac:dyDescent="0.35">
      <c r="F99" t="s">
        <v>35</v>
      </c>
    </row>
    <row r="100" spans="6:9" x14ac:dyDescent="0.35">
      <c r="F100" s="27"/>
      <c r="H100" s="19"/>
    </row>
    <row r="101" spans="6:9" x14ac:dyDescent="0.35">
      <c r="F101" s="1">
        <v>400</v>
      </c>
      <c r="G101" s="1">
        <v>1</v>
      </c>
      <c r="H101" s="1">
        <v>1</v>
      </c>
      <c r="I101" t="s">
        <v>37</v>
      </c>
    </row>
    <row r="102" spans="6:9" x14ac:dyDescent="0.35">
      <c r="F102" s="1">
        <v>560</v>
      </c>
      <c r="G102" s="1" t="s">
        <v>27</v>
      </c>
      <c r="H102" s="1" t="s">
        <v>36</v>
      </c>
    </row>
    <row r="105" spans="6:9" x14ac:dyDescent="0.35">
      <c r="F105" s="1">
        <f>+(F102*H101)/F101</f>
        <v>1.4</v>
      </c>
      <c r="H105" s="28" t="s">
        <v>39</v>
      </c>
    </row>
    <row r="106" spans="6:9" x14ac:dyDescent="0.35">
      <c r="F106" s="25"/>
    </row>
    <row r="107" spans="6:9" x14ac:dyDescent="0.35">
      <c r="F107" s="25" t="s">
        <v>38</v>
      </c>
    </row>
    <row r="108" spans="6:9" x14ac:dyDescent="0.35">
      <c r="F108" s="25"/>
    </row>
    <row r="109" spans="6:9" x14ac:dyDescent="0.35">
      <c r="F109" t="s">
        <v>40</v>
      </c>
    </row>
    <row r="111" spans="6:9" x14ac:dyDescent="0.35">
      <c r="F111" t="s">
        <v>33</v>
      </c>
    </row>
    <row r="112" spans="6:9" x14ac:dyDescent="0.35">
      <c r="F112" t="s">
        <v>41</v>
      </c>
    </row>
  </sheetData>
  <autoFilter ref="B3:I40" xr:uid="{ABA6C78B-0AA3-4E3D-A335-6BC64E3DD2C8}">
    <sortState ref="B4:I40">
      <sortCondition ref="B3"/>
    </sortState>
  </autoFilter>
  <mergeCells count="1">
    <mergeCell ref="B2:I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4C75A-58A7-4497-A7CB-EEADFF1071A1}">
  <dimension ref="A1:AD21"/>
  <sheetViews>
    <sheetView tabSelected="1" view="pageBreakPreview" zoomScaleSheetLayoutView="100" workbookViewId="0">
      <selection activeCell="H1" sqref="H1:H4"/>
    </sheetView>
  </sheetViews>
  <sheetFormatPr baseColWidth="10" defaultColWidth="11.453125" defaultRowHeight="12.5" x14ac:dyDescent="0.25"/>
  <cols>
    <col min="1" max="1" width="11.26953125" style="35" customWidth="1"/>
    <col min="2" max="2" width="30.7265625" style="35" customWidth="1"/>
    <col min="3" max="4" width="30.7265625" style="36" customWidth="1"/>
    <col min="5" max="5" width="6.453125" style="36" customWidth="1"/>
    <col min="6" max="22" width="9.7265625" style="36" customWidth="1"/>
    <col min="23" max="16384" width="11.453125" style="36"/>
  </cols>
  <sheetData>
    <row r="1" spans="1:30" ht="28.9" customHeight="1" x14ac:dyDescent="0.25">
      <c r="A1" s="82" t="s">
        <v>113</v>
      </c>
      <c r="B1" s="83"/>
      <c r="C1" s="83"/>
      <c r="D1" s="88" t="s">
        <v>49</v>
      </c>
      <c r="E1" s="91" t="s">
        <v>62</v>
      </c>
      <c r="F1" s="79" t="s">
        <v>64</v>
      </c>
      <c r="G1" s="79" t="s">
        <v>65</v>
      </c>
      <c r="H1" s="79" t="s">
        <v>70</v>
      </c>
      <c r="I1" s="79" t="s">
        <v>71</v>
      </c>
      <c r="J1" s="79" t="s">
        <v>73</v>
      </c>
      <c r="K1" s="79" t="s">
        <v>75</v>
      </c>
      <c r="L1" s="79" t="s">
        <v>77</v>
      </c>
      <c r="M1" s="79" t="s">
        <v>82</v>
      </c>
      <c r="N1" s="79" t="s">
        <v>86</v>
      </c>
      <c r="O1" s="79" t="s">
        <v>90</v>
      </c>
      <c r="P1" s="79" t="s">
        <v>95</v>
      </c>
      <c r="Q1" s="79" t="s">
        <v>98</v>
      </c>
      <c r="R1" s="79" t="s">
        <v>110</v>
      </c>
      <c r="S1" s="79" t="s">
        <v>119</v>
      </c>
      <c r="T1" s="79" t="s">
        <v>105</v>
      </c>
      <c r="U1" s="79" t="s">
        <v>115</v>
      </c>
      <c r="V1" s="93" t="s">
        <v>111</v>
      </c>
    </row>
    <row r="2" spans="1:30" ht="31.15" customHeight="1" x14ac:dyDescent="0.25">
      <c r="A2" s="84"/>
      <c r="B2" s="85"/>
      <c r="C2" s="85"/>
      <c r="D2" s="89"/>
      <c r="E2" s="92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94"/>
    </row>
    <row r="3" spans="1:30" ht="70.150000000000006" customHeight="1" x14ac:dyDescent="0.25">
      <c r="A3" s="84"/>
      <c r="B3" s="85"/>
      <c r="C3" s="85"/>
      <c r="D3" s="89"/>
      <c r="E3" s="92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94"/>
    </row>
    <row r="4" spans="1:30" ht="52.15" customHeight="1" thickBot="1" x14ac:dyDescent="0.3">
      <c r="A4" s="86"/>
      <c r="B4" s="87"/>
      <c r="C4" s="87"/>
      <c r="D4" s="90"/>
      <c r="E4" s="92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95"/>
    </row>
    <row r="5" spans="1:30" ht="15" customHeight="1" thickBot="1" x14ac:dyDescent="0.3">
      <c r="A5" s="40" t="s">
        <v>51</v>
      </c>
      <c r="B5" s="45" t="s">
        <v>55</v>
      </c>
      <c r="C5" s="42" t="s">
        <v>50</v>
      </c>
      <c r="D5" s="41" t="s">
        <v>61</v>
      </c>
      <c r="E5" s="92"/>
      <c r="F5" s="53">
        <v>1</v>
      </c>
      <c r="G5" s="54">
        <v>2</v>
      </c>
      <c r="H5" s="54">
        <v>3</v>
      </c>
      <c r="I5" s="53">
        <v>4</v>
      </c>
      <c r="J5" s="54">
        <v>5</v>
      </c>
      <c r="K5" s="54">
        <v>6</v>
      </c>
      <c r="L5" s="53">
        <v>7</v>
      </c>
      <c r="M5" s="54">
        <v>8</v>
      </c>
      <c r="N5" s="54">
        <v>9</v>
      </c>
      <c r="O5" s="53">
        <v>10</v>
      </c>
      <c r="P5" s="54">
        <v>11</v>
      </c>
      <c r="Q5" s="54">
        <v>12</v>
      </c>
      <c r="R5" s="53">
        <v>13</v>
      </c>
      <c r="S5" s="54">
        <v>14</v>
      </c>
      <c r="T5" s="54">
        <v>15</v>
      </c>
      <c r="U5" s="53">
        <v>16</v>
      </c>
      <c r="V5" s="72">
        <v>17</v>
      </c>
    </row>
    <row r="6" spans="1:30" ht="45" customHeight="1" x14ac:dyDescent="0.25">
      <c r="A6" s="76" t="s">
        <v>52</v>
      </c>
      <c r="B6" s="47" t="s">
        <v>66</v>
      </c>
      <c r="C6" s="47" t="s">
        <v>53</v>
      </c>
      <c r="D6" s="55" t="s">
        <v>63</v>
      </c>
      <c r="E6" s="69">
        <v>1</v>
      </c>
      <c r="F6" s="65" t="s">
        <v>36</v>
      </c>
      <c r="G6" s="58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60"/>
    </row>
    <row r="7" spans="1:30" s="37" customFormat="1" ht="48" customHeight="1" thickBot="1" x14ac:dyDescent="0.3">
      <c r="A7" s="78"/>
      <c r="B7" s="48" t="s">
        <v>54</v>
      </c>
      <c r="C7" s="48" t="s">
        <v>60</v>
      </c>
      <c r="D7" s="56" t="s">
        <v>123</v>
      </c>
      <c r="E7" s="70">
        <v>2</v>
      </c>
      <c r="F7" s="66"/>
      <c r="G7" s="43" t="s">
        <v>36</v>
      </c>
      <c r="H7" s="43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61"/>
      <c r="W7" s="38"/>
      <c r="X7" s="39"/>
      <c r="Y7" s="39"/>
      <c r="Z7" s="39"/>
      <c r="AA7" s="39"/>
      <c r="AB7" s="39"/>
      <c r="AC7" s="39"/>
      <c r="AD7" s="39"/>
    </row>
    <row r="8" spans="1:30" s="37" customFormat="1" ht="48.75" customHeight="1" x14ac:dyDescent="0.25">
      <c r="A8" s="76" t="s">
        <v>56</v>
      </c>
      <c r="B8" s="51" t="s">
        <v>67</v>
      </c>
      <c r="C8" s="46" t="s">
        <v>68</v>
      </c>
      <c r="D8" s="57" t="s">
        <v>69</v>
      </c>
      <c r="E8" s="70">
        <v>3</v>
      </c>
      <c r="F8" s="66"/>
      <c r="G8" s="52"/>
      <c r="H8" s="43" t="s">
        <v>36</v>
      </c>
      <c r="I8" s="43" t="s">
        <v>36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61"/>
      <c r="W8" s="38"/>
      <c r="X8" s="39"/>
      <c r="Y8" s="39"/>
      <c r="Z8" s="39"/>
      <c r="AA8" s="39"/>
      <c r="AB8" s="39"/>
      <c r="AC8" s="39"/>
      <c r="AD8" s="39"/>
    </row>
    <row r="9" spans="1:30" s="37" customFormat="1" ht="59.25" customHeight="1" x14ac:dyDescent="0.25">
      <c r="A9" s="77"/>
      <c r="B9" s="51" t="s">
        <v>57</v>
      </c>
      <c r="C9" s="48" t="s">
        <v>122</v>
      </c>
      <c r="D9" s="57" t="s">
        <v>72</v>
      </c>
      <c r="E9" s="70">
        <v>4</v>
      </c>
      <c r="F9" s="66"/>
      <c r="G9" s="52"/>
      <c r="H9" s="44"/>
      <c r="I9" s="43"/>
      <c r="J9" s="43" t="s">
        <v>36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61"/>
      <c r="W9" s="38"/>
      <c r="X9" s="39"/>
      <c r="Y9" s="39"/>
      <c r="Z9" s="39"/>
      <c r="AA9" s="39"/>
      <c r="AB9" s="39"/>
      <c r="AC9" s="39"/>
      <c r="AD9" s="39"/>
    </row>
    <row r="10" spans="1:30" s="37" customFormat="1" ht="57.75" customHeight="1" thickBot="1" x14ac:dyDescent="0.3">
      <c r="A10" s="78"/>
      <c r="B10" s="51" t="s">
        <v>58</v>
      </c>
      <c r="C10" s="49" t="s">
        <v>121</v>
      </c>
      <c r="D10" s="57" t="s">
        <v>74</v>
      </c>
      <c r="E10" s="70">
        <v>5</v>
      </c>
      <c r="F10" s="66"/>
      <c r="G10" s="52"/>
      <c r="H10" s="44"/>
      <c r="I10" s="43"/>
      <c r="J10" s="44"/>
      <c r="K10" s="43" t="s">
        <v>36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61"/>
      <c r="W10" s="38"/>
      <c r="X10" s="39"/>
      <c r="Y10" s="39"/>
      <c r="Z10" s="39"/>
      <c r="AA10" s="39"/>
      <c r="AB10" s="39"/>
      <c r="AC10" s="39"/>
      <c r="AD10" s="39"/>
    </row>
    <row r="11" spans="1:30" ht="54" customHeight="1" x14ac:dyDescent="0.25">
      <c r="A11" s="76" t="s">
        <v>59</v>
      </c>
      <c r="B11" s="49" t="s">
        <v>76</v>
      </c>
      <c r="C11" s="49" t="s">
        <v>79</v>
      </c>
      <c r="D11" s="57" t="s">
        <v>78</v>
      </c>
      <c r="E11" s="70">
        <v>6</v>
      </c>
      <c r="F11" s="67"/>
      <c r="G11" s="43"/>
      <c r="H11" s="43"/>
      <c r="I11" s="43"/>
      <c r="J11" s="43"/>
      <c r="K11" s="43"/>
      <c r="L11" s="43" t="s">
        <v>36</v>
      </c>
      <c r="M11" s="43"/>
      <c r="N11" s="43"/>
      <c r="O11" s="43"/>
      <c r="P11" s="43"/>
      <c r="Q11" s="43"/>
      <c r="R11" s="43"/>
      <c r="S11" s="43"/>
      <c r="T11" s="43"/>
      <c r="U11" s="43"/>
      <c r="V11" s="62"/>
    </row>
    <row r="12" spans="1:30" ht="45" customHeight="1" x14ac:dyDescent="0.25">
      <c r="A12" s="77"/>
      <c r="B12" s="47" t="s">
        <v>67</v>
      </c>
      <c r="C12" s="49" t="s">
        <v>80</v>
      </c>
      <c r="D12" s="57" t="s">
        <v>81</v>
      </c>
      <c r="E12" s="70">
        <v>7</v>
      </c>
      <c r="F12" s="67"/>
      <c r="G12" s="43"/>
      <c r="H12" s="43"/>
      <c r="I12" s="43"/>
      <c r="J12" s="43"/>
      <c r="K12" s="43"/>
      <c r="L12" s="43"/>
      <c r="M12" s="43" t="s">
        <v>36</v>
      </c>
      <c r="N12" s="43"/>
      <c r="O12" s="43"/>
      <c r="P12" s="43"/>
      <c r="Q12" s="43"/>
      <c r="R12" s="43"/>
      <c r="S12" s="43"/>
      <c r="T12" s="43"/>
      <c r="U12" s="43"/>
      <c r="V12" s="62"/>
    </row>
    <row r="13" spans="1:30" ht="64" customHeight="1" x14ac:dyDescent="0.25">
      <c r="A13" s="77"/>
      <c r="B13" s="47" t="s">
        <v>83</v>
      </c>
      <c r="C13" s="49" t="s">
        <v>84</v>
      </c>
      <c r="D13" s="57" t="s">
        <v>85</v>
      </c>
      <c r="E13" s="70">
        <v>8</v>
      </c>
      <c r="F13" s="67"/>
      <c r="G13" s="43"/>
      <c r="H13" s="43"/>
      <c r="I13" s="43"/>
      <c r="J13" s="43"/>
      <c r="K13" s="43"/>
      <c r="L13" s="43"/>
      <c r="M13" s="43"/>
      <c r="N13" s="43" t="s">
        <v>36</v>
      </c>
      <c r="O13" s="43"/>
      <c r="P13" s="43"/>
      <c r="Q13" s="43"/>
      <c r="R13" s="43"/>
      <c r="S13" s="43"/>
      <c r="T13" s="43"/>
      <c r="U13" s="43"/>
      <c r="V13" s="62"/>
    </row>
    <row r="14" spans="1:30" ht="68.5" customHeight="1" thickBot="1" x14ac:dyDescent="0.3">
      <c r="A14" s="78"/>
      <c r="B14" s="47" t="s">
        <v>87</v>
      </c>
      <c r="C14" s="49" t="s">
        <v>88</v>
      </c>
      <c r="D14" s="57" t="s">
        <v>89</v>
      </c>
      <c r="E14" s="70">
        <v>9</v>
      </c>
      <c r="F14" s="67"/>
      <c r="G14" s="43"/>
      <c r="H14" s="43"/>
      <c r="I14" s="43"/>
      <c r="J14" s="43"/>
      <c r="K14" s="43"/>
      <c r="L14" s="43"/>
      <c r="M14" s="43"/>
      <c r="N14" s="43"/>
      <c r="O14" s="43" t="s">
        <v>36</v>
      </c>
      <c r="P14" s="43"/>
      <c r="Q14" s="43"/>
      <c r="R14" s="43"/>
      <c r="S14" s="43"/>
      <c r="T14" s="43"/>
      <c r="U14" s="43"/>
      <c r="V14" s="62"/>
    </row>
    <row r="15" spans="1:30" ht="45" customHeight="1" x14ac:dyDescent="0.25">
      <c r="A15" s="76" t="s">
        <v>91</v>
      </c>
      <c r="B15" s="47" t="s">
        <v>92</v>
      </c>
      <c r="C15" s="50" t="s">
        <v>94</v>
      </c>
      <c r="D15" s="57" t="s">
        <v>93</v>
      </c>
      <c r="E15" s="70">
        <v>10</v>
      </c>
      <c r="F15" s="67"/>
      <c r="G15" s="43"/>
      <c r="H15" s="43"/>
      <c r="I15" s="43"/>
      <c r="J15" s="43"/>
      <c r="K15" s="43"/>
      <c r="L15" s="43"/>
      <c r="M15" s="43"/>
      <c r="N15" s="43"/>
      <c r="O15" s="43"/>
      <c r="P15" s="43" t="s">
        <v>36</v>
      </c>
      <c r="Q15" s="43"/>
      <c r="R15" s="43"/>
      <c r="S15" s="43"/>
      <c r="T15" s="43"/>
      <c r="U15" s="43"/>
      <c r="V15" s="62"/>
    </row>
    <row r="16" spans="1:30" ht="45" customHeight="1" x14ac:dyDescent="0.25">
      <c r="A16" s="77"/>
      <c r="B16" s="47" t="s">
        <v>96</v>
      </c>
      <c r="C16" s="50" t="s">
        <v>97</v>
      </c>
      <c r="D16" s="57" t="s">
        <v>120</v>
      </c>
      <c r="E16" s="70">
        <v>11</v>
      </c>
      <c r="F16" s="67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 t="s">
        <v>36</v>
      </c>
      <c r="R16" s="43"/>
      <c r="S16" s="43"/>
      <c r="T16" s="43"/>
      <c r="U16" s="43"/>
      <c r="V16" s="62"/>
    </row>
    <row r="17" spans="1:22" ht="72.650000000000006" customHeight="1" x14ac:dyDescent="0.25">
      <c r="A17" s="77"/>
      <c r="B17" s="50" t="s">
        <v>99</v>
      </c>
      <c r="C17" s="50" t="s">
        <v>100</v>
      </c>
      <c r="D17" s="57" t="s">
        <v>101</v>
      </c>
      <c r="E17" s="70">
        <v>12</v>
      </c>
      <c r="F17" s="67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 t="s">
        <v>36</v>
      </c>
      <c r="S17" s="43"/>
      <c r="T17" s="43"/>
      <c r="U17" s="43"/>
      <c r="V17" s="62"/>
    </row>
    <row r="18" spans="1:22" ht="72.650000000000006" customHeight="1" x14ac:dyDescent="0.25">
      <c r="A18" s="77"/>
      <c r="B18" s="50" t="s">
        <v>116</v>
      </c>
      <c r="C18" s="50" t="s">
        <v>117</v>
      </c>
      <c r="D18" s="57" t="s">
        <v>118</v>
      </c>
      <c r="E18" s="70">
        <v>13</v>
      </c>
      <c r="F18" s="67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 t="s">
        <v>36</v>
      </c>
      <c r="T18" s="43"/>
      <c r="U18" s="43"/>
      <c r="V18" s="62"/>
    </row>
    <row r="19" spans="1:22" ht="45" customHeight="1" x14ac:dyDescent="0.25">
      <c r="A19" s="77"/>
      <c r="B19" s="47" t="s">
        <v>102</v>
      </c>
      <c r="C19" s="50" t="s">
        <v>103</v>
      </c>
      <c r="D19" s="57" t="s">
        <v>104</v>
      </c>
      <c r="E19" s="70">
        <v>14</v>
      </c>
      <c r="F19" s="67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 t="s">
        <v>36</v>
      </c>
      <c r="U19" s="43"/>
      <c r="V19" s="62"/>
    </row>
    <row r="20" spans="1:22" ht="75" customHeight="1" x14ac:dyDescent="0.25">
      <c r="A20" s="77"/>
      <c r="B20" s="47" t="s">
        <v>106</v>
      </c>
      <c r="C20" s="50" t="s">
        <v>112</v>
      </c>
      <c r="D20" s="57" t="s">
        <v>107</v>
      </c>
      <c r="E20" s="70">
        <v>15</v>
      </c>
      <c r="F20" s="67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 t="s">
        <v>36</v>
      </c>
      <c r="V20" s="62"/>
    </row>
    <row r="21" spans="1:22" ht="76" customHeight="1" thickBot="1" x14ac:dyDescent="0.3">
      <c r="A21" s="78"/>
      <c r="B21" s="50" t="s">
        <v>108</v>
      </c>
      <c r="C21" s="49" t="s">
        <v>109</v>
      </c>
      <c r="D21" s="57" t="s">
        <v>114</v>
      </c>
      <c r="E21" s="71">
        <v>16</v>
      </c>
      <c r="F21" s="68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4" t="s">
        <v>36</v>
      </c>
    </row>
  </sheetData>
  <mergeCells count="24">
    <mergeCell ref="U1:U4"/>
    <mergeCell ref="V1:V4"/>
    <mergeCell ref="I1:I4"/>
    <mergeCell ref="J1:J4"/>
    <mergeCell ref="Q1:Q4"/>
    <mergeCell ref="R1:R4"/>
    <mergeCell ref="T1:T4"/>
    <mergeCell ref="P1:P4"/>
    <mergeCell ref="K1:K4"/>
    <mergeCell ref="L1:L4"/>
    <mergeCell ref="M1:M4"/>
    <mergeCell ref="N1:N4"/>
    <mergeCell ref="O1:O4"/>
    <mergeCell ref="S1:S4"/>
    <mergeCell ref="A11:A14"/>
    <mergeCell ref="A15:A21"/>
    <mergeCell ref="F1:F4"/>
    <mergeCell ref="G1:G4"/>
    <mergeCell ref="H1:H4"/>
    <mergeCell ref="A1:C4"/>
    <mergeCell ref="D1:D4"/>
    <mergeCell ref="E1:E5"/>
    <mergeCell ref="A8:A10"/>
    <mergeCell ref="A6:A7"/>
  </mergeCells>
  <printOptions horizontalCentered="1"/>
  <pageMargins left="0.70866141732283472" right="0.70866141732283472" top="0.74803149606299213" bottom="0.74803149606299213" header="0.31496062992125984" footer="0.31496062992125984"/>
  <pageSetup scale="58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A209-5F9A-45BF-A3B1-82FAE415E250}">
  <dimension ref="C2:H5"/>
  <sheetViews>
    <sheetView workbookViewId="0">
      <selection activeCell="C3" sqref="C3:H5"/>
    </sheetView>
  </sheetViews>
  <sheetFormatPr baseColWidth="10" defaultRowHeight="14.5" x14ac:dyDescent="0.35"/>
  <cols>
    <col min="3" max="8" width="20.7265625" customWidth="1"/>
  </cols>
  <sheetData>
    <row r="2" spans="3:8" ht="15" thickBot="1" x14ac:dyDescent="0.4"/>
    <row r="3" spans="3:8" ht="23.5" customHeight="1" thickBot="1" x14ac:dyDescent="0.4">
      <c r="C3" s="96" t="s">
        <v>42</v>
      </c>
      <c r="D3" s="97"/>
      <c r="E3" s="97"/>
      <c r="F3" s="97"/>
      <c r="G3" s="97"/>
      <c r="H3" s="98"/>
    </row>
    <row r="4" spans="3:8" ht="43.9" customHeight="1" thickBot="1" x14ac:dyDescent="0.4">
      <c r="C4" s="29" t="s">
        <v>45</v>
      </c>
      <c r="D4" s="30" t="s">
        <v>43</v>
      </c>
      <c r="E4" s="30" t="s">
        <v>47</v>
      </c>
      <c r="F4" s="30" t="s">
        <v>46</v>
      </c>
      <c r="G4" s="30" t="s">
        <v>44</v>
      </c>
      <c r="H4" s="31" t="s">
        <v>48</v>
      </c>
    </row>
    <row r="5" spans="3:8" ht="24" customHeight="1" thickBot="1" x14ac:dyDescent="0.4">
      <c r="C5" s="32">
        <v>750</v>
      </c>
      <c r="D5" s="33">
        <v>120</v>
      </c>
      <c r="E5" s="33">
        <v>4</v>
      </c>
      <c r="F5" s="33">
        <v>500</v>
      </c>
      <c r="G5" s="33">
        <v>150</v>
      </c>
      <c r="H5" s="34">
        <v>1.175</v>
      </c>
    </row>
  </sheetData>
  <mergeCells count="1">
    <mergeCell ref="C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Compresor Salinas</vt:lpstr>
      <vt:lpstr>Matriz</vt:lpstr>
      <vt:lpstr>Hoja2</vt:lpstr>
      <vt:lpstr>Matriz!Área_de_impresión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Vargas</dc:creator>
  <cp:lastModifiedBy>kathe vargas</cp:lastModifiedBy>
  <cp:lastPrinted>2023-11-09T01:40:30Z</cp:lastPrinted>
  <dcterms:created xsi:type="dcterms:W3CDTF">2023-08-23T21:32:47Z</dcterms:created>
  <dcterms:modified xsi:type="dcterms:W3CDTF">2024-03-24T19:17:40Z</dcterms:modified>
</cp:coreProperties>
</file>