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ee3d28d7cf86aff/Escritorio/Doc Vivi/Maestria/Trabajo Aplicativo/"/>
    </mc:Choice>
  </mc:AlternateContent>
  <xr:revisionPtr revIDLastSave="801" documentId="8_{B3D7FE2F-B824-4F2D-A654-8D90EE51D65E}" xr6:coauthVersionLast="47" xr6:coauthVersionMax="47" xr10:uidLastSave="{9AA03044-CD4F-4F75-BC3A-5008944A0374}"/>
  <bookViews>
    <workbookView xWindow="28680" yWindow="-120" windowWidth="29040" windowHeight="15720" xr2:uid="{465E5491-33C9-42E9-A448-3AD586AC3FD9}"/>
  </bookViews>
  <sheets>
    <sheet name="Glosario" sheetId="8" r:id="rId1"/>
    <sheet name="Hoja de formulas" sheetId="9" r:id="rId2"/>
    <sheet name="Lineamientos de precios" sheetId="4" r:id="rId3"/>
    <sheet name="Datos Ejercicio" sheetId="5" r:id="rId4"/>
    <sheet name="Simulador" sheetId="6" r:id="rId5"/>
    <sheet name="Análisis de Sensibilidad de PX" sheetId="1" r:id="rId6"/>
    <sheet name="Calculo de Cortes y PX" sheetId="3" r:id="rId7"/>
    <sheet name="Matriz Carter" sheetId="10" r:id="rId8"/>
    <sheet name="Valor Percibido" sheetId="11" r:id="rId9"/>
    <sheet name="Valor Percibido vs Precio Perc " sheetId="12" r:id="rId10"/>
    <sheet name="Base" sheetId="7" state="hidden" r:id="rId11"/>
  </sheets>
  <externalReferences>
    <externalReference r:id="rId12"/>
  </externalReferences>
  <definedNames>
    <definedName name="_xlnm._FilterDatabase" localSheetId="4" hidden="1">Simulador!$A$7:$P$10</definedName>
    <definedName name="Canal">[1]!Tabla2[Canal]</definedName>
    <definedName name="Gerencia">[1]!Tabla3[Gerencia]</definedName>
    <definedName name="porcentajes">[1]condiciones!$G$3:$G$12</definedName>
    <definedName name="Zona">[1]!Tabla4[Zona]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0" l="1"/>
  <c r="I17" i="10"/>
  <c r="I16" i="10"/>
  <c r="I15" i="10"/>
  <c r="H16" i="10"/>
  <c r="H17" i="10"/>
  <c r="H18" i="10"/>
  <c r="H15" i="10"/>
  <c r="C104" i="9" l="1"/>
  <c r="C91" i="9"/>
  <c r="C81" i="9"/>
  <c r="C67" i="9"/>
  <c r="N65" i="9"/>
  <c r="N71" i="9" s="1"/>
  <c r="N74" i="9" s="1"/>
  <c r="C55" i="9"/>
  <c r="R52" i="9"/>
  <c r="N52" i="9"/>
  <c r="N46" i="9"/>
  <c r="R53" i="9" s="1"/>
  <c r="N45" i="9"/>
  <c r="C43" i="9"/>
  <c r="C32" i="9"/>
  <c r="N31" i="9"/>
  <c r="C31" i="9"/>
  <c r="C20" i="9"/>
  <c r="N19" i="9"/>
  <c r="C9" i="9"/>
  <c r="Q7" i="9"/>
  <c r="N7" i="9"/>
  <c r="B6" i="8"/>
  <c r="B8" i="8" s="1"/>
  <c r="B10" i="8" s="1"/>
  <c r="B12" i="8" s="1"/>
  <c r="B14" i="8" s="1"/>
  <c r="B16" i="8" s="1"/>
  <c r="B18" i="8" s="1"/>
  <c r="B20" i="8" s="1"/>
  <c r="B22" i="8" s="1"/>
  <c r="B24" i="8" s="1"/>
  <c r="B26" i="8" s="1"/>
  <c r="B28" i="8" s="1"/>
  <c r="B30" i="8" s="1"/>
  <c r="B32" i="8" s="1"/>
  <c r="B34" i="8" s="1"/>
  <c r="B36" i="8" s="1"/>
  <c r="B38" i="8" s="1"/>
  <c r="E4" i="6"/>
  <c r="F10" i="6"/>
  <c r="F9" i="6"/>
  <c r="F8" i="6"/>
  <c r="E8" i="5"/>
  <c r="N54" i="9" l="1"/>
  <c r="R54" i="9"/>
  <c r="N53" i="9"/>
  <c r="E7" i="5" l="1"/>
  <c r="E6" i="5"/>
  <c r="K9" i="6" l="1"/>
  <c r="J8" i="6"/>
  <c r="K8" i="6"/>
  <c r="K10" i="6"/>
  <c r="J10" i="6"/>
  <c r="J9" i="6"/>
  <c r="L10" i="6" l="1"/>
  <c r="Q10" i="6" s="1"/>
  <c r="L8" i="6"/>
  <c r="Q8" i="6" s="1"/>
  <c r="L9" i="6"/>
  <c r="Q9" i="6" s="1"/>
  <c r="P9" i="6" l="1"/>
  <c r="O9" i="6" s="1"/>
  <c r="N9" i="6"/>
  <c r="N8" i="6"/>
  <c r="P8" i="6"/>
  <c r="O8" i="6" s="1"/>
  <c r="P10" i="6"/>
  <c r="O10" i="6" s="1"/>
  <c r="N10" i="6"/>
  <c r="M9" i="6"/>
  <c r="M8" i="6"/>
  <c r="M10" i="6"/>
  <c r="E23" i="3" l="1"/>
  <c r="E24" i="3"/>
  <c r="E25" i="3"/>
  <c r="E26" i="3"/>
  <c r="E27" i="3"/>
  <c r="E22" i="3"/>
  <c r="E17" i="3"/>
  <c r="E18" i="3"/>
  <c r="E19" i="3"/>
  <c r="E16" i="3"/>
  <c r="G16" i="3" s="1"/>
  <c r="E13" i="3"/>
  <c r="G13" i="3" s="1"/>
  <c r="E14" i="3"/>
  <c r="G14" i="3" s="1"/>
  <c r="E12" i="3"/>
  <c r="G12" i="3" s="1"/>
  <c r="I22" i="1"/>
  <c r="H22" i="1"/>
  <c r="I9" i="1"/>
  <c r="H9" i="1"/>
  <c r="C5" i="3"/>
  <c r="G22" i="3" l="1"/>
  <c r="G17" i="3"/>
  <c r="G26" i="3"/>
  <c r="G19" i="3"/>
  <c r="G24" i="3"/>
  <c r="G18" i="3"/>
  <c r="G23" i="3"/>
  <c r="G27" i="3"/>
  <c r="G25" i="3"/>
  <c r="H12" i="3"/>
  <c r="I12" i="3" l="1"/>
  <c r="J12" i="3" s="1"/>
  <c r="K12" i="3" s="1"/>
  <c r="H16" i="3"/>
  <c r="H22" i="3"/>
  <c r="I22" i="3" l="1"/>
  <c r="J22" i="3" s="1"/>
  <c r="K22" i="3" s="1"/>
  <c r="I16" i="3"/>
  <c r="J16" i="3" s="1"/>
  <c r="K16" i="3" s="1"/>
  <c r="D23" i="1"/>
  <c r="C26" i="1"/>
  <c r="I21" i="1"/>
  <c r="H21" i="1"/>
  <c r="H26" i="1" s="1"/>
  <c r="E21" i="1"/>
  <c r="M20" i="1"/>
  <c r="M7" i="1"/>
  <c r="D10" i="1"/>
  <c r="C10" i="1"/>
  <c r="I8" i="1"/>
  <c r="I10" i="1" s="1"/>
  <c r="H8" i="1"/>
  <c r="H13" i="1" s="1"/>
  <c r="E8" i="1"/>
  <c r="J21" i="1" l="1"/>
  <c r="D11" i="1"/>
  <c r="I12" i="1" s="1"/>
  <c r="I13" i="1" s="1"/>
  <c r="H10" i="1"/>
  <c r="C23" i="1"/>
  <c r="D24" i="1" s="1"/>
  <c r="H23" i="1"/>
  <c r="I23" i="1"/>
  <c r="C13" i="1"/>
  <c r="J8" i="1"/>
  <c r="D12" i="1" l="1"/>
  <c r="D13" i="1" s="1"/>
  <c r="D25" i="1"/>
  <c r="D26" i="1" s="1"/>
  <c r="I25" i="1"/>
  <c r="I26" i="1" s="1"/>
</calcChain>
</file>

<file path=xl/sharedStrings.xml><?xml version="1.0" encoding="utf-8"?>
<sst xmlns="http://schemas.openxmlformats.org/spreadsheetml/2006/main" count="531" uniqueCount="359">
  <si>
    <t xml:space="preserve">Precio </t>
  </si>
  <si>
    <t>Actual</t>
  </si>
  <si>
    <t>Nuevo</t>
  </si>
  <si>
    <t>Var</t>
  </si>
  <si>
    <t>TC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</si>
  <si>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Definir el volumen minimo para mantener el GM absoluto cuando bajos precios</t>
    </r>
  </si>
  <si>
    <t>Costo</t>
  </si>
  <si>
    <t>C$</t>
  </si>
  <si>
    <t>U$</t>
  </si>
  <si>
    <t>Margen</t>
  </si>
  <si>
    <t>Volumen</t>
  </si>
  <si>
    <r>
      <t xml:space="preserve">% </t>
    </r>
    <r>
      <rPr>
        <sz val="11"/>
        <color theme="1"/>
        <rFont val="Calibri"/>
        <family val="2"/>
      </rPr>
      <t>∆ Volumen</t>
    </r>
  </si>
  <si>
    <t>Margen absoluto</t>
  </si>
  <si>
    <t>% GM Inicial + % ∆ Precio</t>
  </si>
  <si>
    <t>Ecuación</t>
  </si>
  <si>
    <r>
      <rPr>
        <sz val="12"/>
        <color theme="1"/>
        <rFont val="Calibri"/>
        <family val="2"/>
        <scheme val="minor"/>
      </rPr>
      <t xml:space="preserve">% ∆ Volumen </t>
    </r>
    <r>
      <rPr>
        <sz val="12"/>
        <color theme="1"/>
        <rFont val="Calibri"/>
        <family val="2"/>
      </rPr>
      <t xml:space="preserve">≥ </t>
    </r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</si>
  <si>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Definir el volumen maximo a perder para mantener el GM absoluto cuando subo precios</t>
    </r>
  </si>
  <si>
    <t xml:space="preserve">Completar </t>
  </si>
  <si>
    <t>Actualizado</t>
  </si>
  <si>
    <t>Corte</t>
  </si>
  <si>
    <t>Presas</t>
  </si>
  <si>
    <t>%</t>
  </si>
  <si>
    <t>Peso</t>
  </si>
  <si>
    <t>Precio</t>
  </si>
  <si>
    <t>Precio Kilo X Presas</t>
  </si>
  <si>
    <t>Total Presas</t>
  </si>
  <si>
    <t>Precio venta x kilo</t>
  </si>
  <si>
    <t>Diferencia</t>
  </si>
  <si>
    <t>Observación</t>
  </si>
  <si>
    <t>PERNIL CON RABADILLA 1</t>
  </si>
  <si>
    <t>Pechuga</t>
  </si>
  <si>
    <t>% Participación</t>
  </si>
  <si>
    <t>Pernil con rabadilla</t>
  </si>
  <si>
    <t>Filete</t>
  </si>
  <si>
    <t>Ala costillar</t>
  </si>
  <si>
    <t>Hueso</t>
  </si>
  <si>
    <t>Piel</t>
  </si>
  <si>
    <t>PERNIL CON RABADILLA</t>
  </si>
  <si>
    <t>Pierna</t>
  </si>
  <si>
    <t>Muslo</t>
  </si>
  <si>
    <t>Costillar</t>
  </si>
  <si>
    <t>Rabadilla</t>
  </si>
  <si>
    <t>Ala sin costillar</t>
  </si>
  <si>
    <t>Ala Tradicional</t>
  </si>
  <si>
    <t>PIERNA - ENTREMUSLO</t>
  </si>
  <si>
    <t>Entremuslo</t>
  </si>
  <si>
    <t>CONTEXTO RENTABILIDADES</t>
  </si>
  <si>
    <t>FLUJO DE COSTOS</t>
  </si>
  <si>
    <t xml:space="preserve">Pavo en Pie </t>
  </si>
  <si>
    <t>PRESAS DE PAVO</t>
  </si>
  <si>
    <t>Pavo Eviscerado</t>
  </si>
  <si>
    <t>PAVO ENTERO</t>
  </si>
  <si>
    <t>MARINADO</t>
  </si>
  <si>
    <t>SIN MARINAR</t>
  </si>
  <si>
    <t>EMPACADO</t>
  </si>
  <si>
    <t>Refrigerado</t>
  </si>
  <si>
    <t>Congelado</t>
  </si>
  <si>
    <t>Marinado</t>
  </si>
  <si>
    <t>Sin Marinar</t>
  </si>
  <si>
    <t>Bandeja</t>
  </si>
  <si>
    <t>Bolsa</t>
  </si>
  <si>
    <t>Pavo Entero vs. Presas</t>
  </si>
  <si>
    <t>Análisis de cortes</t>
  </si>
  <si>
    <t>Px Pavo Entero (kg)</t>
  </si>
  <si>
    <t>Producto</t>
  </si>
  <si>
    <t>SIMULADOR PRECIOS NUEVOS</t>
  </si>
  <si>
    <t>Canal</t>
  </si>
  <si>
    <t>MG</t>
  </si>
  <si>
    <t>Desc Material</t>
  </si>
  <si>
    <t>Marinación</t>
  </si>
  <si>
    <t>Estado</t>
  </si>
  <si>
    <t xml:space="preserve"> COSTO KG</t>
  </si>
  <si>
    <t xml:space="preserve"> Cial/Kg</t>
  </si>
  <si>
    <t xml:space="preserve"> SCM/kg</t>
  </si>
  <si>
    <t xml:space="preserve"> G&amp;A/kg</t>
  </si>
  <si>
    <t>UMBRAL Min PX</t>
  </si>
  <si>
    <t>MG% Real</t>
  </si>
  <si>
    <t>%MG.OPER</t>
  </si>
  <si>
    <t xml:space="preserve">DATOS TALLER DE PRECIOS </t>
  </si>
  <si>
    <t>Costos Variables</t>
  </si>
  <si>
    <t>Costos Fijos</t>
  </si>
  <si>
    <t>Costo Total</t>
  </si>
  <si>
    <t>Presentación (gramos)</t>
  </si>
  <si>
    <t>Producción ( Kg)</t>
  </si>
  <si>
    <t>Pavo Entero empacado en Skin Marinado</t>
  </si>
  <si>
    <t xml:space="preserve">Pierna de pavo sin marinar a granel </t>
  </si>
  <si>
    <t xml:space="preserve">Jamón de pavo saludable </t>
  </si>
  <si>
    <t>Margen deseado</t>
  </si>
  <si>
    <t>Pollo entero</t>
  </si>
  <si>
    <t>Pierna de Pollo</t>
  </si>
  <si>
    <t>Lomo de Cerdo</t>
  </si>
  <si>
    <t>Jamón de Pollo</t>
  </si>
  <si>
    <t>Precios promedios de Otras proteínas PVP ( Precio Venta Público)</t>
  </si>
  <si>
    <t>Elasticidad estimada de cada canal</t>
  </si>
  <si>
    <t>Tipo de Cliente</t>
  </si>
  <si>
    <t>Producto Principal</t>
  </si>
  <si>
    <t>Elasticidad Precio (ε)</t>
  </si>
  <si>
    <t>Clasificación</t>
  </si>
  <si>
    <t>Interpretación Estratégica</t>
  </si>
  <si>
    <t>Retail – Supermercado</t>
  </si>
  <si>
    <t>Consumidor final</t>
  </si>
  <si>
    <t>Pavo entero marinado skin pack (6 kg)</t>
  </si>
  <si>
    <t>Alta (Elástica)</t>
  </si>
  <si>
    <t>Sensible al precio. Pequeñas reducciones pueden aumentar volumen significativamente. Ideal para promociones.</t>
  </si>
  <si>
    <t>Conveniencia – Tiendas</t>
  </si>
  <si>
    <t>Compradores por impulso / canal rápido</t>
  </si>
  <si>
    <t>Jamón de pavo saludable (240 g)</t>
  </si>
  <si>
    <t>Moderadamente elástica</t>
  </si>
  <si>
    <t>El precio importa, pero también influye la disponibilidad y percepción de producto saludable.</t>
  </si>
  <si>
    <t>Institucional – B2B</t>
  </si>
  <si>
    <t>Hoteles, colegios, hospitales</t>
  </si>
  <si>
    <t>Pierna de pavo marinada a granel (2 kg)</t>
  </si>
  <si>
    <t>Inelástica</t>
  </si>
  <si>
    <t>Buscan calidad, estandarización y cumplimiento más que precio bajo. Poca sensibilidad al precio.</t>
  </si>
  <si>
    <t>Canal moderno regional</t>
  </si>
  <si>
    <t>Supermercados regionales y cadenas locales</t>
  </si>
  <si>
    <t>Elástica</t>
  </si>
  <si>
    <t>Alto potencial de reacción positiva a estrategias de precio competitivo.</t>
  </si>
  <si>
    <t>Cuentas clave (industria)</t>
  </si>
  <si>
    <t xml:space="preserve">Información de percepción del consumidor </t>
  </si>
  <si>
    <t>Aspecto</t>
  </si>
  <si>
    <t>Percepción del consumidor colombiano</t>
  </si>
  <si>
    <t>Estacionalidad</t>
  </si>
  <si>
    <t>El pavo se asocia casi exclusivamente con la temporada navideña.</t>
  </si>
  <si>
    <t>Precio percibido</t>
  </si>
  <si>
    <t>Se percibe como un producto costoso, especialmente frente al pollo.</t>
  </si>
  <si>
    <t>Dificultad de preparación</t>
  </si>
  <si>
    <t>El consumidor considera que cocinar pavo es complejo y requiere experiencia.</t>
  </si>
  <si>
    <t>Valor nutricional</t>
  </si>
  <si>
    <t>Reconocido como saludable, bajo en grasa, rico en proteínas y beneficioso para la salud cardiovascular.</t>
  </si>
  <si>
    <t>Frecuencia de consumo</t>
  </si>
  <si>
    <t>Disponibilidad en punto de venta</t>
  </si>
  <si>
    <t>Limitada. Poca presencia en tiendas de barrio y retail fuera de temporada.</t>
  </si>
  <si>
    <t>Formatos actuales</t>
  </si>
  <si>
    <t>Pocos formatos individuales o listos para cocinar que conecten con el consumidor moderno.</t>
  </si>
  <si>
    <t>Muy baja. El consumo per cápita es de solo 80 g al año.</t>
  </si>
  <si>
    <t>Volumen mensual estimado</t>
  </si>
  <si>
    <t>Unidad de medida</t>
  </si>
  <si>
    <t>Observaciones</t>
  </si>
  <si>
    <t>Unidades</t>
  </si>
  <si>
    <t>Alto potencial por practicidad. Se espera crecimiento con campañas de posicionamiento.</t>
  </si>
  <si>
    <t>Kilogramos</t>
  </si>
  <si>
    <t>Contratos regulares con hoteles, clínicas, colegios.</t>
  </si>
  <si>
    <t>Rotación moderada. Potencial con marcas propias o alianza regional.</t>
  </si>
  <si>
    <t>Volumen mensual esperado por canal</t>
  </si>
  <si>
    <t xml:space="preserve">Mayor venta en temporada (nov-dic). </t>
  </si>
  <si>
    <t>Pavo Entero Skin Marinado</t>
  </si>
  <si>
    <t>Jamón de Pavo Saludable</t>
  </si>
  <si>
    <t>Pierna de Pavo sin marinar granel</t>
  </si>
  <si>
    <t>N.A</t>
  </si>
  <si>
    <t>Institucional</t>
  </si>
  <si>
    <t>Conveniencia</t>
  </si>
  <si>
    <t>Margen Objetivo</t>
  </si>
  <si>
    <t>Elasticidad estimada (ε)</t>
  </si>
  <si>
    <t>Margen sugerido (%)</t>
  </si>
  <si>
    <t>Justificación</t>
  </si>
  <si>
    <t>Pavo entero marinado (6 kg)</t>
  </si>
  <si>
    <t>-1.9</t>
  </si>
  <si>
    <t>30–35%</t>
  </si>
  <si>
    <t>Canal elástico. Se requiere un margen que permita promociones sin perder utilidad.</t>
  </si>
  <si>
    <t>-1.3</t>
  </si>
  <si>
    <t>25–30%</t>
  </si>
  <si>
    <t>Productos por impulso. Alto volumen compensa margen moderado.</t>
  </si>
  <si>
    <t>Pierna marinada a granel (2 kg)</t>
  </si>
  <si>
    <t>-0.6</t>
  </si>
  <si>
    <t>15–20%</t>
  </si>
  <si>
    <t>Bajo nivel de elasticidad. Mayor volumen, menor margen. Contratos estables.</t>
  </si>
  <si>
    <t>-1.5</t>
  </si>
  <si>
    <t>20–25%</t>
  </si>
  <si>
    <t>Competencia en precio. Importa presentación, pero hay sensibilidad.</t>
  </si>
  <si>
    <t>Pierna o insumos para derivados</t>
  </si>
  <si>
    <t>-0.8</t>
  </si>
  <si>
    <t>18–22%</t>
  </si>
  <si>
    <t>Negocian fuerte. El precio debe ser competitivo pero rentable a escala.</t>
  </si>
  <si>
    <t>Moderno - Retail</t>
  </si>
  <si>
    <t>Gross profit</t>
  </si>
  <si>
    <t>GASTO SERVIR TOTAL</t>
  </si>
  <si>
    <t>MG.OPER (Ebit)</t>
  </si>
  <si>
    <t>Px lista (Kilo)</t>
  </si>
  <si>
    <t>Px Presentación</t>
  </si>
  <si>
    <t>Kilo - Variable</t>
  </si>
  <si>
    <t>Unidad - Fijo</t>
  </si>
  <si>
    <t>Peso prom (g)</t>
  </si>
  <si>
    <t>kilo</t>
  </si>
  <si>
    <t>paquete</t>
  </si>
  <si>
    <t>Graficos</t>
  </si>
  <si>
    <t>Cuando la elasticidad toma un valor comprendido entre (-1) e infinito. Si los consumidores son muy sensibles a variaciones pequeñas del precio, cambiando notoriamente la cantidad demandada</t>
  </si>
  <si>
    <t>Demanda elastica</t>
  </si>
  <si>
    <t>Cuando la elasticidad toma un valor comprendido entre 0 y (-1) . Para ciertos productos alzas en el precio se traducen en pequeñas variaciones de la cantidad demandada</t>
  </si>
  <si>
    <t>Demanda inelastica</t>
  </si>
  <si>
    <t>Señala cuánto varía la cantidad demandada de un bien cuando varía su precio.</t>
  </si>
  <si>
    <t>Elasticidad</t>
  </si>
  <si>
    <t>Cantidad de producto que las empresas tienen disponibles para el mercado.</t>
  </si>
  <si>
    <t>Oferta</t>
  </si>
  <si>
    <t>Cantidad de producto que el mercado esta dispuesto a adquirir en x tiempo determiando</t>
  </si>
  <si>
    <t>Demanda</t>
  </si>
  <si>
    <t>Volumen de ventas realizado por la empresa</t>
  </si>
  <si>
    <t>Ingresos</t>
  </si>
  <si>
    <t>Aumentan con el volumen de la activiad, a mayor produccion mayor costo</t>
  </si>
  <si>
    <t>Independientes del volumen de la actidad economica, es decir, numero de unidades vendidas (Q)</t>
  </si>
  <si>
    <t>Costos fijos</t>
  </si>
  <si>
    <t>Umbral de rentabilidad adicional por los cambios de precios.  - efecto precio vs efecto volumen.</t>
  </si>
  <si>
    <t>Uva</t>
  </si>
  <si>
    <t>La empresa no obtiene ni beneficios ni perdidas. Ingresos = gastos</t>
  </si>
  <si>
    <t>Punto de equilibrio</t>
  </si>
  <si>
    <t>Es la diferencia entre el precio de venta de un producto o servicio y el costo variable del mismo.</t>
  </si>
  <si>
    <t>Margen de contribucion</t>
  </si>
  <si>
    <t>Medida de rentabilidad  que se calcula con base al precio de venta</t>
  </si>
  <si>
    <t>Margen de utilidad</t>
  </si>
  <si>
    <t>Es una forma de asignación de precio basado en el precio final del consumidor, determinando por un margen de utilidad.</t>
  </si>
  <si>
    <t>Precio Inteligente</t>
  </si>
  <si>
    <t>Es una forma de asignación de precios basado en el Costo de compra.</t>
  </si>
  <si>
    <t>Mark Up</t>
  </si>
  <si>
    <t xml:space="preserve">Es el beneficio que recibe el cliente ya descontando todos los gastos. </t>
  </si>
  <si>
    <t>Utlidad Neta</t>
  </si>
  <si>
    <t xml:space="preserve">Es la suma de dinero que se percibe por la venta de los productos deduciendo el costo del mismo. </t>
  </si>
  <si>
    <t>Utilidad Bruta</t>
  </si>
  <si>
    <t>Ingreso de la ventas descontando los gastos.</t>
  </si>
  <si>
    <t>Venta Neta</t>
  </si>
  <si>
    <t>Ingreso total en concepto de ventas que se reciben dentro de un periodo determinado. Ingreso x concepto de facturación.</t>
  </si>
  <si>
    <t>Venta Bruta</t>
  </si>
  <si>
    <t>Glosario</t>
  </si>
  <si>
    <t>Item</t>
  </si>
  <si>
    <t>1.</t>
  </si>
  <si>
    <t>Precio de venta</t>
  </si>
  <si>
    <t>Conversiones</t>
  </si>
  <si>
    <t>Concepto</t>
  </si>
  <si>
    <t>Valor</t>
  </si>
  <si>
    <t>Gramos</t>
  </si>
  <si>
    <t>Precio FresPavo</t>
  </si>
  <si>
    <t>Utilidad Bruta - margen bruto - GM - Margen operacional</t>
  </si>
  <si>
    <t>2.</t>
  </si>
  <si>
    <t>Ventas</t>
  </si>
  <si>
    <t>Costos</t>
  </si>
  <si>
    <t>%GM</t>
  </si>
  <si>
    <t>Utilidad Neta - Margen neto - Ebit</t>
  </si>
  <si>
    <t>3.</t>
  </si>
  <si>
    <t>Gastos</t>
  </si>
  <si>
    <t>Costo V1</t>
  </si>
  <si>
    <t>% Margen neto</t>
  </si>
  <si>
    <t>Costo V2</t>
  </si>
  <si>
    <t>4.</t>
  </si>
  <si>
    <t>Early - precio promedio</t>
  </si>
  <si>
    <t>Mark up - margen de utilidad</t>
  </si>
  <si>
    <t>Presup vta</t>
  </si>
  <si>
    <t>Ppto vta Vol</t>
  </si>
  <si>
    <t>Early Px</t>
  </si>
  <si>
    <t>Precio de Compra</t>
  </si>
  <si>
    <t>Und vendidas</t>
  </si>
  <si>
    <t>5.</t>
  </si>
  <si>
    <t>% Cumpl Precio</t>
  </si>
  <si>
    <t>Mark up</t>
  </si>
  <si>
    <t>Px Ejecutado</t>
  </si>
  <si>
    <t>% margen</t>
  </si>
  <si>
    <t>% Cumpl</t>
  </si>
  <si>
    <t>precio de venta</t>
  </si>
  <si>
    <t>costo variable</t>
  </si>
  <si>
    <t>Venta $$</t>
  </si>
  <si>
    <t>Ealy Vol</t>
  </si>
  <si>
    <t>Px</t>
  </si>
  <si>
    <t>7.</t>
  </si>
  <si>
    <t>Indice de precio</t>
  </si>
  <si>
    <t>Ojo</t>
  </si>
  <si>
    <t>Precio Frespavo/ Precio Competencia</t>
  </si>
  <si>
    <t>Si Index &gt;100%</t>
  </si>
  <si>
    <t>El precio esta por encima de la competencia</t>
  </si>
  <si>
    <t>Si Index &lt;100%</t>
  </si>
  <si>
    <t>El precio esta por debajo de la competencia (se debe ajustar a la competencia)</t>
  </si>
  <si>
    <t>Si Index =100%</t>
  </si>
  <si>
    <t>se está igual al mercado</t>
  </si>
  <si>
    <t>Precio Competencia</t>
  </si>
  <si>
    <t>Index Px</t>
  </si>
  <si>
    <t>Si Index &gt;1</t>
  </si>
  <si>
    <t>Si Index &lt;1</t>
  </si>
  <si>
    <t>Si Index =1</t>
  </si>
  <si>
    <t>8.</t>
  </si>
  <si>
    <t>Descuento</t>
  </si>
  <si>
    <t>Precio Base</t>
  </si>
  <si>
    <t>Precio Descuento</t>
  </si>
  <si>
    <t>La matriz CARTER (Criterios de Atracción Relativa para Evaluación de Rentabilidad) es una herramienta estratégica que permite priorizar clientes o canales según seis dimensiones clave: Crecimiento, Accesibilidad, Rentabilidad, Tamaño, Estrategia y Riesgo. A continuación, se presenta un ejemplo aplicado a Frespavo.</t>
  </si>
  <si>
    <t>Canal/Cliente</t>
  </si>
  <si>
    <t>Puntaje Total</t>
  </si>
  <si>
    <t>1.	Identificar los criterios más relevantes para el negocio de pavo</t>
  </si>
  <si>
    <t>2.	Calificar cada cliente o canal (por ejemplo, supermercados, hoteles, distribuidores, institucional, etc.) del 1 al 5 en cada criterio.</t>
  </si>
  <si>
    <t>3.	Calcular un puntaje total ponderado para cada canal. Por ejemplo, si Rentabilidad y Tamaño tienen más peso estratégico, pueden valer más que Relación.</t>
  </si>
  <si>
    <t>4.	Clasificar los canales/clientes según el puntaje total:
* Los de mayor puntuación serían prioritarios en la estrategia comercial, de precios y servicio.
* Los de baja puntuación podrían tener una estrategia de mantenimiento o incluso desinversión.</t>
  </si>
  <si>
    <t xml:space="preserve">5.	Tomar decisiones de asignación de recursos: Frespavo podría enfocar sus esfuerzos de venta, promoción y negociación en los clientes y canales con mayor puntuación CARTER, lo que contribuiría a una rentabilidad más sostenible y al uso eficiente de su capacidad productiva.
</t>
  </si>
  <si>
    <t>Rentabilidad (30%)</t>
  </si>
  <si>
    <t>Tamaño (25%)</t>
  </si>
  <si>
    <t>Estrategia (15%)</t>
  </si>
  <si>
    <t>Crecimiento (15%)</t>
  </si>
  <si>
    <t>Accesibilidad (15%)</t>
  </si>
  <si>
    <t>35–38%</t>
  </si>
  <si>
    <t>Puntaje Poderado</t>
  </si>
  <si>
    <t>Priorizar</t>
  </si>
  <si>
    <t>Desarrollar</t>
  </si>
  <si>
    <t>Mantener</t>
  </si>
  <si>
    <t>Mayor puntaje ponderado --&gt;  Muy buena combinación entre rentabilidad, tamaño del mercado y alineación estratégica.</t>
  </si>
  <si>
    <t>Tiene potencial en crecimiento, pero requiere mejorar en tamaño y accesibilidad.</t>
  </si>
  <si>
    <t>Es el segundo atractivo tiene un gran potencial en el volumen.</t>
  </si>
  <si>
    <t>Muestra baja puntuación en casi todos los factores salvo estrategia. Su bajo tamaño, crecimiento y accesibilidad hacen que no sea prioritario.</t>
  </si>
  <si>
    <t>Rol estrategico</t>
  </si>
  <si>
    <t>Alta visibilidad y valor</t>
  </si>
  <si>
    <t>Penetración urbana y conveniencia</t>
  </si>
  <si>
    <t>Base de volumen / eficiencia</t>
  </si>
  <si>
    <t>Exploración controlada</t>
  </si>
  <si>
    <t>Índice de precios sugerido</t>
  </si>
  <si>
    <t>Nota: Para el indice de precios se toma como base de referencia el canal Institucional por ser más eficiente, menos costo de servir y alto volumen</t>
  </si>
  <si>
    <t>Justificación clave</t>
  </si>
  <si>
    <t>Requiere empaques atractivos, márgenes para cadena, promociones.</t>
  </si>
  <si>
    <t>Mayor elasticidad pero altos costos logísticos.</t>
  </si>
  <si>
    <t>Alta eficiencia operativa y baja exigencia en empaque/presentación.</t>
  </si>
  <si>
    <t>Aunque tiene bajo volumen, puede usarse como piloto de nuevas presentaciones.</t>
  </si>
  <si>
    <t>Atributo</t>
  </si>
  <si>
    <t>Valor para el consumidor</t>
  </si>
  <si>
    <t>¿Se puede monetizar?</t>
  </si>
  <si>
    <t>Bajo en grasa y colesterol</t>
  </si>
  <si>
    <t>Sí, para personas que cuidan su salud</t>
  </si>
  <si>
    <t>✅ Sí</t>
  </si>
  <si>
    <t>Alto en proteínas</t>
  </si>
  <si>
    <t>Deportistas, niños, adultos mayores</t>
  </si>
  <si>
    <t>Producto premium / Gourmet</t>
  </si>
  <si>
    <t>Consumidores aspiracionales, regalos</t>
  </si>
  <si>
    <t>Producto “especial” / navideño</t>
  </si>
  <si>
    <t>Uso en celebraciones, alto simbolismo</t>
  </si>
  <si>
    <t>Marinado o listo para cocinar</t>
  </si>
  <si>
    <t>Conveniencia / ahorro de tiempo</t>
  </si>
  <si>
    <t>¿Qué valor percibido tiene el pavo para el consumidor?</t>
  </si>
  <si>
    <t>MATRIZ CARTER</t>
  </si>
  <si>
    <t>Cada canal valora atributos diferentes:</t>
  </si>
  <si>
    <t>Valor percibido clave</t>
  </si>
  <si>
    <t>Implicación en precio</t>
  </si>
  <si>
    <t>Retail</t>
  </si>
  <si>
    <t>Salud, conveniencia, marca, gourmet</t>
  </si>
  <si>
    <t>+15% sobre base</t>
  </si>
  <si>
    <t>Eficiencia, volumen, cumplimiento</t>
  </si>
  <si>
    <t>Precio base</t>
  </si>
  <si>
    <t>Porciones pequeñas, listas para consumir</t>
  </si>
  <si>
    <t>+20% por conveniencia</t>
  </si>
  <si>
    <t>Moderno regional</t>
  </si>
  <si>
    <t>Exploración / posicionamiento</t>
  </si>
  <si>
    <t>Precio base ajustado</t>
  </si>
  <si>
    <t>Precio percibido (1–5)</t>
  </si>
  <si>
    <t>Valor percibido (1–5)</t>
  </si>
  <si>
    <t>Frespavo – Jamón saludable</t>
  </si>
  <si>
    <t>Frespavo – Pierna marinada</t>
  </si>
  <si>
    <t>Pollo entero – marca popular</t>
  </si>
  <si>
    <t>Pavo importado gourmet (Butterball)</t>
  </si>
  <si>
    <t>Cerdo adobado</t>
  </si>
  <si>
    <t>Zenú – Jamón de pavo</t>
  </si>
  <si>
    <t>Pietrán – Línea Light (pavo/cerdo)</t>
  </si>
  <si>
    <t>Pollo Kokoriko entero</t>
  </si>
  <si>
    <t>Zenú – Jamón de cerdo tradicional</t>
  </si>
  <si>
    <r>
      <t>Frespavo – Jamón saludable</t>
    </r>
    <r>
      <rPr>
        <sz val="11"/>
        <color theme="1"/>
        <rFont val="Calibri"/>
        <family val="2"/>
        <scheme val="minor"/>
      </rPr>
      <t xml:space="preserve"> está en una </t>
    </r>
    <r>
      <rPr>
        <b/>
        <sz val="11"/>
        <color theme="1"/>
        <rFont val="Calibri"/>
        <family val="2"/>
        <scheme val="minor"/>
      </rPr>
      <t>zona estratégica de oportunidad</t>
    </r>
    <r>
      <rPr>
        <sz val="11"/>
        <color theme="1"/>
        <rFont val="Calibri"/>
        <family val="2"/>
        <scheme val="minor"/>
      </rPr>
      <t>: alto valor percibido con precio medio. Si se comunica mejor, puede soportar un precio mayor.</t>
    </r>
  </si>
  <si>
    <r>
      <t>Pietrán y Butterball</t>
    </r>
    <r>
      <rPr>
        <sz val="11"/>
        <color theme="1"/>
        <rFont val="Calibri"/>
        <family val="2"/>
        <scheme val="minor"/>
      </rPr>
      <t xml:space="preserve"> dominan el segmento de </t>
    </r>
    <r>
      <rPr>
        <b/>
        <sz val="11"/>
        <color theme="1"/>
        <rFont val="Calibri"/>
        <family val="2"/>
        <scheme val="minor"/>
      </rPr>
      <t>alto valor y alto precio</t>
    </r>
    <r>
      <rPr>
        <sz val="11"/>
        <color theme="1"/>
        <rFont val="Calibri"/>
        <family val="2"/>
        <scheme val="minor"/>
      </rPr>
      <t>, pero el consumidor paga por marca e imagen.</t>
    </r>
  </si>
  <si>
    <r>
      <t>Pollo y cerdo tradicionales</t>
    </r>
    <r>
      <rPr>
        <sz val="11"/>
        <color theme="1"/>
        <rFont val="Calibri"/>
        <family val="2"/>
        <scheme val="minor"/>
      </rPr>
      <t xml:space="preserve"> anclan la percepción de precio bajo, pero también de bajo valor.</t>
    </r>
  </si>
  <si>
    <t>Conclusión</t>
  </si>
  <si>
    <t>Institucional / Tradicional</t>
  </si>
  <si>
    <t>Conveniencia / Foodservices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</si>
</sst>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\ #,##0;[Red]\-&quot;$&quot;\ #,##0"/>
    <numFmt numFmtId="41" formatCode="_-* #,##0_-;\-* #,##0_-;_-* &quot;-&quot;_-;_-@_-"/>
    <numFmt numFmtId="44" formatCode="_-&quot;$&quot;\ * #,##0.00_-;\-&quot;$&quot;\ * #,##0.00_-;_-&quot;$&quot;\ * &quot;-&quot;??_-;_-@_-"/>
    <numFmt numFmtId="164" formatCode="&quot;C$&quot;#,##0;[Red]\-&quot;C$&quot;#,##0"/>
    <numFmt numFmtId="165" formatCode="&quot;C$&quot;#,##0.00;[Red]\-&quot;C$&quot;#,##0.00"/>
    <numFmt numFmtId="166" formatCode="0.0%"/>
    <numFmt numFmtId="167" formatCode="[$$-540A]#,##0.000_ ;[Red]\-[$$-540A]#,##0.000\ "/>
    <numFmt numFmtId="168" formatCode="#,##0_ ;[Red]\-#,##0\ "/>
    <numFmt numFmtId="169" formatCode="[$$-540A]#,##0_ ;[Red]\-[$$-540A]#,##0\ "/>
    <numFmt numFmtId="170" formatCode="_-* #,##0.000_-;\-* #,##0.000_-;_-* &quot;-&quot;_-;_-@_-"/>
    <numFmt numFmtId="171" formatCode="[$$-240A]\ #,##0"/>
    <numFmt numFmtId="172" formatCode="_-&quot;$&quot;\ * #,##0_-;\-&quot;$&quot;\ * #,##0_-;_-&quot;$&quot;\ * &quot;-&quot;??_-;_-@_-"/>
    <numFmt numFmtId="173" formatCode="#,##0.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b/>
      <sz val="28"/>
      <name val="DengXian"/>
    </font>
    <font>
      <sz val="12"/>
      <name val="Calibri"/>
      <family val="2"/>
      <scheme val="minor"/>
    </font>
    <font>
      <sz val="12"/>
      <name val="DengXian"/>
    </font>
    <font>
      <b/>
      <sz val="18"/>
      <name val="DengXian"/>
    </font>
    <font>
      <b/>
      <sz val="9"/>
      <name val="DengXian"/>
    </font>
    <font>
      <b/>
      <sz val="16"/>
      <name val="DengXian"/>
    </font>
    <font>
      <sz val="13"/>
      <name val="DengXian"/>
    </font>
    <font>
      <sz val="12"/>
      <color theme="0"/>
      <name val="DengXian"/>
    </font>
    <font>
      <sz val="12"/>
      <color indexed="8"/>
      <name val="DengXian"/>
    </font>
    <font>
      <b/>
      <sz val="12"/>
      <name val="DengXian"/>
    </font>
    <font>
      <b/>
      <sz val="12"/>
      <color indexed="8"/>
      <name val="DengXian"/>
    </font>
    <font>
      <sz val="8"/>
      <name val="DengXian"/>
    </font>
    <font>
      <b/>
      <sz val="12"/>
      <color theme="4"/>
      <name val="Calibri"/>
      <family val="2"/>
      <scheme val="minor"/>
    </font>
    <font>
      <b/>
      <sz val="16"/>
      <color theme="4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20"/>
      <color theme="2" tint="-0.899990844447157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mbria"/>
      <family val="1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</patternFill>
    </fill>
    <fill>
      <patternFill patternType="solid">
        <fgColor theme="5" tint="0.59999389629810485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ouble">
        <color theme="9" tint="-0.24994659260841701"/>
      </left>
      <right/>
      <top style="double">
        <color theme="9" tint="-0.24994659260841701"/>
      </top>
      <bottom/>
      <diagonal/>
    </border>
    <border>
      <left/>
      <right style="double">
        <color theme="9" tint="-0.24994659260841701"/>
      </right>
      <top style="double">
        <color theme="9" tint="-0.24994659260841701"/>
      </top>
      <bottom/>
      <diagonal/>
    </border>
    <border>
      <left style="double">
        <color theme="9" tint="-0.24994659260841701"/>
      </left>
      <right/>
      <top/>
      <bottom style="double">
        <color theme="9" tint="-0.24994659260841701"/>
      </bottom>
      <diagonal/>
    </border>
    <border>
      <left/>
      <right style="double">
        <color theme="9" tint="-0.24994659260841701"/>
      </right>
      <top/>
      <bottom style="double">
        <color theme="9" tint="-0.2499465926084170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0" tint="-0.249977111117893"/>
      </right>
      <top style="thin">
        <color theme="2" tint="-0.24994659260841701"/>
      </top>
      <bottom style="thin">
        <color theme="2" tint="-0.2499465926084170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4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3" fillId="9" borderId="0" applyNumberFormat="0" applyBorder="0" applyAlignment="0" applyProtection="0"/>
  </cellStyleXfs>
  <cellXfs count="14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6" fontId="0" fillId="2" borderId="0" xfId="1" applyNumberFormat="1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0" fontId="0" fillId="2" borderId="0" xfId="1" applyNumberFormat="1" applyFont="1" applyFill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6" fontId="0" fillId="0" borderId="0" xfId="1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/>
    </xf>
    <xf numFmtId="168" fontId="3" fillId="3" borderId="0" xfId="0" applyNumberFormat="1" applyFont="1" applyFill="1" applyAlignment="1">
      <alignment horizontal="center" vertical="center"/>
    </xf>
    <xf numFmtId="167" fontId="3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9" fillId="0" borderId="0" xfId="3" applyFont="1"/>
    <xf numFmtId="0" fontId="10" fillId="0" borderId="0" xfId="3" applyFont="1"/>
    <xf numFmtId="0" fontId="11" fillId="0" borderId="0" xfId="3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14" fontId="12" fillId="0" borderId="0" xfId="3" applyNumberFormat="1" applyFont="1" applyAlignment="1">
      <alignment horizontal="center" vertical="center"/>
    </xf>
    <xf numFmtId="0" fontId="13" fillId="0" borderId="0" xfId="3" applyFont="1"/>
    <xf numFmtId="170" fontId="10" fillId="0" borderId="0" xfId="4" applyNumberFormat="1" applyFont="1" applyProtection="1"/>
    <xf numFmtId="171" fontId="10" fillId="0" borderId="0" xfId="3" applyNumberFormat="1" applyFont="1"/>
    <xf numFmtId="0" fontId="10" fillId="0" borderId="0" xfId="3" applyFont="1" applyAlignment="1">
      <alignment wrapText="1"/>
    </xf>
    <xf numFmtId="0" fontId="14" fillId="4" borderId="0" xfId="3" applyFont="1" applyFill="1"/>
    <xf numFmtId="171" fontId="15" fillId="5" borderId="0" xfId="3" applyNumberFormat="1" applyFont="1" applyFill="1" applyAlignment="1">
      <alignment horizontal="center"/>
    </xf>
    <xf numFmtId="171" fontId="16" fillId="0" borderId="0" xfId="3" applyNumberFormat="1" applyFont="1"/>
    <xf numFmtId="0" fontId="10" fillId="4" borderId="0" xfId="3" applyFont="1" applyFill="1" applyAlignment="1">
      <alignment horizontal="center" vertical="center"/>
    </xf>
    <xf numFmtId="170" fontId="10" fillId="4" borderId="0" xfId="4" applyNumberFormat="1" applyFont="1" applyFill="1" applyBorder="1" applyAlignment="1" applyProtection="1">
      <alignment horizontal="center" vertical="center"/>
    </xf>
    <xf numFmtId="0" fontId="10" fillId="4" borderId="0" xfId="3" applyFont="1" applyFill="1" applyAlignment="1">
      <alignment horizontal="center" vertical="center" wrapText="1"/>
    </xf>
    <xf numFmtId="0" fontId="10" fillId="6" borderId="0" xfId="3" applyFont="1" applyFill="1"/>
    <xf numFmtId="0" fontId="17" fillId="6" borderId="0" xfId="3" applyFont="1" applyFill="1" applyAlignment="1">
      <alignment horizontal="center" vertical="center"/>
    </xf>
    <xf numFmtId="170" fontId="17" fillId="0" borderId="0" xfId="4" applyNumberFormat="1" applyFont="1" applyBorder="1" applyAlignment="1" applyProtection="1">
      <alignment horizontal="center" vertical="center"/>
    </xf>
    <xf numFmtId="0" fontId="17" fillId="0" borderId="0" xfId="3" applyFont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7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6" borderId="0" xfId="3" applyFont="1" applyFill="1" applyAlignment="1">
      <alignment horizontal="center" vertical="center"/>
    </xf>
    <xf numFmtId="10" fontId="10" fillId="6" borderId="0" xfId="3" applyNumberFormat="1" applyFont="1" applyFill="1"/>
    <xf numFmtId="170" fontId="10" fillId="0" borderId="0" xfId="4" applyNumberFormat="1" applyFont="1" applyBorder="1" applyProtection="1"/>
    <xf numFmtId="166" fontId="9" fillId="0" borderId="0" xfId="5" applyNumberFormat="1" applyFont="1"/>
    <xf numFmtId="10" fontId="10" fillId="0" borderId="0" xfId="3" applyNumberFormat="1" applyFont="1"/>
    <xf numFmtId="0" fontId="10" fillId="0" borderId="0" xfId="3" applyFont="1" applyAlignment="1">
      <alignment horizontal="center" vertical="center"/>
    </xf>
    <xf numFmtId="0" fontId="19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170" fontId="10" fillId="0" borderId="0" xfId="4" applyNumberFormat="1" applyFont="1"/>
    <xf numFmtId="0" fontId="20" fillId="0" borderId="0" xfId="0" applyFont="1"/>
    <xf numFmtId="6" fontId="0" fillId="0" borderId="0" xfId="0" applyNumberFormat="1"/>
    <xf numFmtId="9" fontId="0" fillId="0" borderId="0" xfId="1" applyFont="1"/>
    <xf numFmtId="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2" fontId="3" fillId="3" borderId="0" xfId="2" applyNumberFormat="1" applyFont="1" applyFill="1" applyAlignment="1">
      <alignment horizontal="center" vertical="center"/>
    </xf>
    <xf numFmtId="172" fontId="0" fillId="0" borderId="0" xfId="2" applyNumberFormat="1" applyFont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5" fillId="0" borderId="0" xfId="0" applyFont="1"/>
    <xf numFmtId="0" fontId="2" fillId="0" borderId="2" xfId="0" applyFont="1" applyBorder="1"/>
    <xf numFmtId="0" fontId="26" fillId="9" borderId="0" xfId="7" applyFont="1" applyAlignment="1">
      <alignment horizontal="centerContinuous" vertical="distributed"/>
    </xf>
    <xf numFmtId="0" fontId="28" fillId="12" borderId="0" xfId="0" applyFont="1" applyFill="1"/>
    <xf numFmtId="3" fontId="29" fillId="0" borderId="0" xfId="0" applyNumberFormat="1" applyFont="1"/>
    <xf numFmtId="9" fontId="29" fillId="0" borderId="0" xfId="1" applyFont="1" applyFill="1"/>
    <xf numFmtId="41" fontId="29" fillId="0" borderId="0" xfId="6" applyFont="1" applyFill="1"/>
    <xf numFmtId="3" fontId="0" fillId="0" borderId="0" xfId="0" applyNumberFormat="1"/>
    <xf numFmtId="166" fontId="0" fillId="0" borderId="0" xfId="1" applyNumberFormat="1" applyFont="1"/>
    <xf numFmtId="168" fontId="0" fillId="0" borderId="0" xfId="0" applyNumberFormat="1"/>
    <xf numFmtId="172" fontId="0" fillId="0" borderId="0" xfId="2" applyNumberFormat="1" applyFont="1"/>
    <xf numFmtId="0" fontId="28" fillId="12" borderId="0" xfId="0" applyFont="1" applyFill="1" applyAlignment="1">
      <alignment horizontal="center"/>
    </xf>
    <xf numFmtId="9" fontId="0" fillId="0" borderId="0" xfId="0" applyNumberFormat="1"/>
    <xf numFmtId="0" fontId="28" fillId="1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8" fillId="17" borderId="0" xfId="0" applyFont="1" applyFill="1"/>
    <xf numFmtId="0" fontId="0" fillId="17" borderId="0" xfId="0" applyFill="1"/>
    <xf numFmtId="3" fontId="0" fillId="17" borderId="0" xfId="0" applyNumberFormat="1" applyFill="1"/>
    <xf numFmtId="9" fontId="29" fillId="17" borderId="0" xfId="1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0" fillId="2" borderId="0" xfId="0" applyFont="1" applyFill="1" applyAlignment="1">
      <alignment horizontal="center" vertical="center" wrapText="1"/>
    </xf>
    <xf numFmtId="0" fontId="2" fillId="15" borderId="0" xfId="0" applyFont="1" applyFill="1" applyAlignment="1">
      <alignment horizontal="center" vertical="center" wrapText="1"/>
    </xf>
    <xf numFmtId="0" fontId="0" fillId="17" borderId="0" xfId="0" applyFill="1" applyAlignment="1">
      <alignment horizontal="center"/>
    </xf>
    <xf numFmtId="172" fontId="0" fillId="0" borderId="0" xfId="0" applyNumberFormat="1"/>
    <xf numFmtId="0" fontId="2" fillId="0" borderId="0" xfId="0" applyFont="1"/>
    <xf numFmtId="10" fontId="0" fillId="0" borderId="0" xfId="0" applyNumberFormat="1"/>
    <xf numFmtId="0" fontId="2" fillId="18" borderId="0" xfId="0" applyFont="1" applyFill="1"/>
    <xf numFmtId="0" fontId="2" fillId="18" borderId="0" xfId="0" applyFont="1" applyFill="1" applyAlignment="1">
      <alignment horizontal="right"/>
    </xf>
    <xf numFmtId="0" fontId="2" fillId="18" borderId="0" xfId="0" applyFont="1" applyFill="1" applyAlignment="1">
      <alignment horizontal="left"/>
    </xf>
    <xf numFmtId="0" fontId="0" fillId="15" borderId="7" xfId="0" applyFill="1" applyBorder="1"/>
    <xf numFmtId="0" fontId="24" fillId="19" borderId="0" xfId="0" applyFont="1" applyFill="1"/>
    <xf numFmtId="173" fontId="2" fillId="0" borderId="0" xfId="0" applyNumberFormat="1" applyFont="1"/>
    <xf numFmtId="3" fontId="2" fillId="0" borderId="0" xfId="0" applyNumberFormat="1" applyFont="1"/>
    <xf numFmtId="168" fontId="2" fillId="0" borderId="0" xfId="0" applyNumberFormat="1" applyFont="1"/>
    <xf numFmtId="9" fontId="2" fillId="0" borderId="0" xfId="1" applyFont="1" applyAlignment="1">
      <alignment horizontal="center" vertical="center"/>
    </xf>
    <xf numFmtId="9" fontId="2" fillId="0" borderId="0" xfId="0" applyNumberFormat="1" applyFont="1"/>
    <xf numFmtId="0" fontId="2" fillId="0" borderId="0" xfId="0" applyFont="1" applyAlignment="1">
      <alignment horizontal="left"/>
    </xf>
    <xf numFmtId="166" fontId="2" fillId="0" borderId="0" xfId="1" applyNumberFormat="1" applyFont="1"/>
    <xf numFmtId="10" fontId="2" fillId="0" borderId="0" xfId="1" applyNumberFormat="1" applyFont="1"/>
    <xf numFmtId="3" fontId="2" fillId="0" borderId="0" xfId="1" applyNumberFormat="1" applyFont="1"/>
    <xf numFmtId="0" fontId="2" fillId="20" borderId="0" xfId="0" applyFont="1" applyFill="1" applyAlignment="1">
      <alignment horizontal="center"/>
    </xf>
    <xf numFmtId="0" fontId="31" fillId="0" borderId="0" xfId="0" applyFont="1"/>
    <xf numFmtId="0" fontId="32" fillId="0" borderId="0" xfId="0" applyFont="1"/>
    <xf numFmtId="9" fontId="2" fillId="0" borderId="0" xfId="1" applyFont="1"/>
    <xf numFmtId="4" fontId="2" fillId="0" borderId="0" xfId="1" applyNumberFormat="1" applyFont="1"/>
    <xf numFmtId="2" fontId="0" fillId="0" borderId="0" xfId="0" applyNumberFormat="1"/>
    <xf numFmtId="0" fontId="28" fillId="12" borderId="8" xfId="0" applyFont="1" applyFill="1" applyBorder="1"/>
    <xf numFmtId="0" fontId="0" fillId="0" borderId="8" xfId="0" applyBorder="1"/>
    <xf numFmtId="0" fontId="33" fillId="0" borderId="8" xfId="0" applyFont="1" applyBorder="1" applyAlignment="1">
      <alignment horizontal="center" vertical="center" wrapText="1"/>
    </xf>
    <xf numFmtId="0" fontId="28" fillId="12" borderId="8" xfId="0" applyFont="1" applyFill="1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28" fillId="12" borderId="8" xfId="0" applyFont="1" applyFill="1" applyBorder="1" applyAlignment="1">
      <alignment horizontal="center" wrapText="1"/>
    </xf>
    <xf numFmtId="9" fontId="0" fillId="0" borderId="8" xfId="1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8" fillId="12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14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8" fillId="12" borderId="0" xfId="0" applyFont="1" applyFill="1" applyAlignment="1">
      <alignment horizontal="center"/>
    </xf>
    <xf numFmtId="0" fontId="25" fillId="16" borderId="0" xfId="0" applyFont="1" applyFill="1" applyAlignment="1">
      <alignment horizontal="center"/>
    </xf>
    <xf numFmtId="9" fontId="27" fillId="11" borderId="3" xfId="1" applyFont="1" applyFill="1" applyBorder="1" applyAlignment="1">
      <alignment horizontal="center" vertical="center"/>
    </xf>
    <xf numFmtId="9" fontId="27" fillId="11" borderId="4" xfId="1" applyFont="1" applyFill="1" applyBorder="1" applyAlignment="1">
      <alignment horizontal="center" vertical="center"/>
    </xf>
    <xf numFmtId="9" fontId="27" fillId="11" borderId="5" xfId="1" applyFont="1" applyFill="1" applyBorder="1" applyAlignment="1">
      <alignment horizontal="center" vertical="center"/>
    </xf>
    <xf numFmtId="9" fontId="27" fillId="11" borderId="6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0" borderId="0" xfId="3" applyFont="1" applyAlignment="1">
      <alignment horizontal="center" vertical="center"/>
    </xf>
    <xf numFmtId="0" fontId="15" fillId="5" borderId="0" xfId="3" applyFont="1" applyFill="1" applyAlignment="1">
      <alignment horizontal="center"/>
    </xf>
    <xf numFmtId="0" fontId="10" fillId="6" borderId="0" xfId="3" applyFont="1" applyFill="1" applyAlignment="1">
      <alignment horizontal="center" vertical="center"/>
    </xf>
    <xf numFmtId="171" fontId="10" fillId="0" borderId="0" xfId="3" applyNumberFormat="1" applyFont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7" borderId="0" xfId="3" applyFont="1" applyFill="1" applyAlignment="1">
      <alignment horizontal="center" vertical="center"/>
    </xf>
    <xf numFmtId="0" fontId="10" fillId="8" borderId="0" xfId="3" applyFont="1" applyFill="1" applyAlignment="1">
      <alignment horizontal="center" vertical="center"/>
    </xf>
    <xf numFmtId="0" fontId="0" fillId="0" borderId="0" xfId="0" applyAlignment="1">
      <alignment horizontal="left"/>
    </xf>
    <xf numFmtId="0" fontId="33" fillId="0" borderId="0" xfId="0" applyFont="1" applyAlignment="1">
      <alignment horizontal="left" vertical="center" wrapText="1"/>
    </xf>
    <xf numFmtId="0" fontId="28" fillId="12" borderId="9" xfId="0" applyFont="1" applyFill="1" applyBorder="1" applyAlignment="1">
      <alignment horizontal="center"/>
    </xf>
    <xf numFmtId="0" fontId="28" fillId="12" borderId="10" xfId="0" applyFont="1" applyFill="1" applyBorder="1" applyAlignment="1">
      <alignment horizont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8">
    <cellStyle name="Bueno" xfId="7" builtinId="26"/>
    <cellStyle name="Millares [0]" xfId="6" builtinId="6"/>
    <cellStyle name="Millares [0] 2" xfId="4" xr:uid="{ACB5BF00-D607-4D4C-85B8-682EECEA005E}"/>
    <cellStyle name="Moneda" xfId="2" builtinId="4"/>
    <cellStyle name="Normal" xfId="0" builtinId="0"/>
    <cellStyle name="Normal 2" xfId="3" xr:uid="{AC67252E-1DCB-4162-8D60-9B9B3DBDC6B3}"/>
    <cellStyle name="Porcentaje" xfId="1" builtinId="5"/>
    <cellStyle name="Porcentaje 2" xfId="5" xr:uid="{665F9464-D1EF-4A0A-BD03-8D8324829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Valor Percibido vs Precio Percibido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'Valor Percibido vs Precio Perc '!$C$2</c:f>
              <c:strCache>
                <c:ptCount val="1"/>
                <c:pt idx="0">
                  <c:v>Valor percibido (1–5)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'Valor Percibido vs Precio Perc '!$B$3:$B$11</c:f>
              <c:numCache>
                <c:formatCode>General</c:formatCode>
                <c:ptCount val="9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4.5</c:v>
                </c:pt>
                <c:pt idx="4">
                  <c:v>2.5</c:v>
                </c:pt>
                <c:pt idx="5">
                  <c:v>3</c:v>
                </c:pt>
                <c:pt idx="6">
                  <c:v>4</c:v>
                </c:pt>
                <c:pt idx="7">
                  <c:v>1.5</c:v>
                </c:pt>
                <c:pt idx="8">
                  <c:v>2.5</c:v>
                </c:pt>
              </c:numCache>
            </c:numRef>
          </c:xVal>
          <c:yVal>
            <c:numRef>
              <c:f>'Valor Percibido vs Precio Perc '!$C$3:$C$11</c:f>
              <c:numCache>
                <c:formatCode>General</c:formatCode>
                <c:ptCount val="9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4.5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1.5</c:v>
                </c:pt>
                <c:pt idx="8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8C-4375-ADE6-606E2DEB8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1291119"/>
        <c:axId val="1154204335"/>
      </c:scatterChart>
      <c:valAx>
        <c:axId val="1161291119"/>
        <c:scaling>
          <c:orientation val="minMax"/>
          <c:max val="5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PRECIO PERCIBIDO</a:t>
                </a:r>
              </a:p>
            </c:rich>
          </c:tx>
          <c:layout>
            <c:manualLayout>
              <c:xMode val="edge"/>
              <c:yMode val="edge"/>
              <c:x val="0.43088496263346709"/>
              <c:y val="0.92497589491479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54204335"/>
        <c:crosses val="autoZero"/>
        <c:crossBetween val="midCat"/>
      </c:valAx>
      <c:valAx>
        <c:axId val="1154204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PERCIBIDO</a:t>
                </a:r>
              </a:p>
            </c:rich>
          </c:tx>
          <c:layout>
            <c:manualLayout>
              <c:xMode val="edge"/>
              <c:yMode val="edge"/>
              <c:x val="8.4548704314407214E-3"/>
              <c:y val="0.366094630295011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1291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20F7F24D-7CFE-4521-9E91-94E822C8C357}" type="doc">
      <dgm:prSet loTypeId="urn:microsoft.com/office/officeart/2005/8/layout/hList1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CO"/>
        </a:p>
      </dgm:t>
    </dgm:pt>
    <dgm:pt modelId="{DE67A8FB-BAA1-4DE8-AAEB-F32F41D9B9F6}">
      <dgm:prSet phldrT="[Texto]" custT="1"/>
      <dgm:spPr/>
      <dgm:t>
        <a:bodyPr/>
        <a:lstStyle/>
        <a:p>
          <a:r>
            <a:rPr lang="es-CO" sz="2000"/>
            <a:t>Margen Bruto (GM)</a:t>
          </a:r>
        </a:p>
      </dgm:t>
    </dgm:pt>
    <dgm:pt modelId="{7C097AF0-2499-47AA-98E9-92B61F420F94}" type="parTrans" cxnId="{359BD949-B75A-47EA-BE3B-332B86A99C6C}">
      <dgm:prSet/>
      <dgm:spPr/>
      <dgm:t>
        <a:bodyPr/>
        <a:lstStyle/>
        <a:p>
          <a:endParaRPr lang="es-CO"/>
        </a:p>
      </dgm:t>
    </dgm:pt>
    <dgm:pt modelId="{6B4F9659-8B53-4C95-A9EC-8597C6BEA80B}" type="sibTrans" cxnId="{359BD949-B75A-47EA-BE3B-332B86A99C6C}">
      <dgm:prSet/>
      <dgm:spPr/>
      <dgm:t>
        <a:bodyPr/>
        <a:lstStyle/>
        <a:p>
          <a:endParaRPr lang="es-CO"/>
        </a:p>
      </dgm:t>
    </dgm:pt>
    <dgm:pt modelId="{22A6DF0D-0AAF-48BA-9910-5F857AC821A9}">
      <dgm:prSet phldrT="[Texto]" custT="1"/>
      <dgm:spPr/>
      <dgm:t>
        <a:bodyPr/>
        <a:lstStyle/>
        <a:p>
          <a:r>
            <a:rPr lang="es-CO" sz="2000"/>
            <a:t>COSTO PRODUCTO</a:t>
          </a:r>
        </a:p>
      </dgm:t>
    </dgm:pt>
    <dgm:pt modelId="{43D7B39E-B696-4C71-9EA9-13D9B31E210C}" type="parTrans" cxnId="{92A9ABD0-3164-4574-9F20-48F00D97CF35}">
      <dgm:prSet/>
      <dgm:spPr/>
      <dgm:t>
        <a:bodyPr/>
        <a:lstStyle/>
        <a:p>
          <a:endParaRPr lang="es-CO"/>
        </a:p>
      </dgm:t>
    </dgm:pt>
    <dgm:pt modelId="{B01DC70E-7E69-4ECF-9E7C-1FF2A4542103}" type="sibTrans" cxnId="{92A9ABD0-3164-4574-9F20-48F00D97CF35}">
      <dgm:prSet/>
      <dgm:spPr/>
      <dgm:t>
        <a:bodyPr/>
        <a:lstStyle/>
        <a:p>
          <a:endParaRPr lang="es-CO"/>
        </a:p>
      </dgm:t>
    </dgm:pt>
    <dgm:pt modelId="{9A954E85-7999-455C-8ABA-43E3E68DC67A}">
      <dgm:prSet phldrT="[Texto]" custT="1"/>
      <dgm:spPr/>
      <dgm:t>
        <a:bodyPr/>
        <a:lstStyle/>
        <a:p>
          <a:r>
            <a:rPr lang="es-CO" sz="2000"/>
            <a:t>PRECIO</a:t>
          </a:r>
        </a:p>
      </dgm:t>
    </dgm:pt>
    <dgm:pt modelId="{8FCFEDB2-FAF7-4918-B597-0DE8CB75B1A6}" type="parTrans" cxnId="{A96A2738-F051-4C67-A4C6-2BBB1C0FA1CC}">
      <dgm:prSet/>
      <dgm:spPr/>
      <dgm:t>
        <a:bodyPr/>
        <a:lstStyle/>
        <a:p>
          <a:endParaRPr lang="es-CO"/>
        </a:p>
      </dgm:t>
    </dgm:pt>
    <dgm:pt modelId="{10FA72D2-2679-44E0-A8DD-B5DF2D3DEDCE}" type="sibTrans" cxnId="{A96A2738-F051-4C67-A4C6-2BBB1C0FA1CC}">
      <dgm:prSet/>
      <dgm:spPr/>
      <dgm:t>
        <a:bodyPr/>
        <a:lstStyle/>
        <a:p>
          <a:endParaRPr lang="es-CO"/>
        </a:p>
      </dgm:t>
    </dgm:pt>
    <dgm:pt modelId="{A5BA605E-0C24-42D5-9898-641AE873CFCC}">
      <dgm:prSet phldrT="[Texto]"/>
      <dgm:spPr/>
      <dgm:t>
        <a:bodyPr/>
        <a:lstStyle/>
        <a:p>
          <a:r>
            <a:rPr lang="es-CO"/>
            <a:t>Margen Operacional ( EBIT)</a:t>
          </a:r>
        </a:p>
      </dgm:t>
    </dgm:pt>
    <dgm:pt modelId="{11805233-27E2-4A47-8A8D-DC02EA7CF2BC}" type="parTrans" cxnId="{584E6271-F560-40A2-95C7-12938980BAD4}">
      <dgm:prSet/>
      <dgm:spPr/>
      <dgm:t>
        <a:bodyPr/>
        <a:lstStyle/>
        <a:p>
          <a:endParaRPr lang="es-CO"/>
        </a:p>
      </dgm:t>
    </dgm:pt>
    <dgm:pt modelId="{5BB3A753-158D-4629-96AC-EE29970396FE}" type="sibTrans" cxnId="{584E6271-F560-40A2-95C7-12938980BAD4}">
      <dgm:prSet/>
      <dgm:spPr/>
      <dgm:t>
        <a:bodyPr/>
        <a:lstStyle/>
        <a:p>
          <a:endParaRPr lang="es-CO"/>
        </a:p>
      </dgm:t>
    </dgm:pt>
    <dgm:pt modelId="{C16DE09D-172F-4C21-AD3B-1FF316E8529D}">
      <dgm:prSet phldrT="[Texto]" custT="1"/>
      <dgm:spPr/>
      <dgm:t>
        <a:bodyPr/>
        <a:lstStyle/>
        <a:p>
          <a:r>
            <a:rPr lang="es-CO" sz="2000"/>
            <a:t>GASTO COMERCIAL</a:t>
          </a:r>
        </a:p>
      </dgm:t>
    </dgm:pt>
    <dgm:pt modelId="{57D94622-703B-464E-B5A2-DBC013BF5D0A}" type="parTrans" cxnId="{F664C01D-D62B-4AFE-BDAE-2D86BAA5C34D}">
      <dgm:prSet/>
      <dgm:spPr/>
      <dgm:t>
        <a:bodyPr/>
        <a:lstStyle/>
        <a:p>
          <a:endParaRPr lang="es-CO"/>
        </a:p>
      </dgm:t>
    </dgm:pt>
    <dgm:pt modelId="{352D04AA-84A8-41A2-870B-D9593CA0817F}" type="sibTrans" cxnId="{F664C01D-D62B-4AFE-BDAE-2D86BAA5C34D}">
      <dgm:prSet/>
      <dgm:spPr/>
      <dgm:t>
        <a:bodyPr/>
        <a:lstStyle/>
        <a:p>
          <a:endParaRPr lang="es-CO"/>
        </a:p>
      </dgm:t>
    </dgm:pt>
    <dgm:pt modelId="{C3D8FA33-4CC5-44ED-9D95-828E301B5574}">
      <dgm:prSet phldrT="[Texto]" custT="1"/>
      <dgm:spPr/>
      <dgm:t>
        <a:bodyPr/>
        <a:lstStyle/>
        <a:p>
          <a:r>
            <a:rPr lang="es-CO" sz="2000"/>
            <a:t>GASTO SUPPLY</a:t>
          </a:r>
        </a:p>
      </dgm:t>
    </dgm:pt>
    <dgm:pt modelId="{62BB23C3-D69C-4193-8AB9-EB04B89F7C29}" type="parTrans" cxnId="{898FA276-9A52-4C95-B82F-55FAB7CD5530}">
      <dgm:prSet/>
      <dgm:spPr/>
      <dgm:t>
        <a:bodyPr/>
        <a:lstStyle/>
        <a:p>
          <a:endParaRPr lang="es-CO"/>
        </a:p>
      </dgm:t>
    </dgm:pt>
    <dgm:pt modelId="{D7B855D2-EBF6-427A-BAA4-1C7A6BD6036A}" type="sibTrans" cxnId="{898FA276-9A52-4C95-B82F-55FAB7CD5530}">
      <dgm:prSet/>
      <dgm:spPr/>
      <dgm:t>
        <a:bodyPr/>
        <a:lstStyle/>
        <a:p>
          <a:endParaRPr lang="es-CO"/>
        </a:p>
      </dgm:t>
    </dgm:pt>
    <dgm:pt modelId="{9DE4D967-7F14-4190-A4D3-C959C9F86E49}">
      <dgm:prSet phldrT="[Texto]"/>
      <dgm:spPr/>
      <dgm:t>
        <a:bodyPr/>
        <a:lstStyle/>
        <a:p>
          <a:r>
            <a:rPr lang="es-CO"/>
            <a:t>EBITDA</a:t>
          </a:r>
        </a:p>
      </dgm:t>
    </dgm:pt>
    <dgm:pt modelId="{9D79BA06-1216-476A-A12A-9550311BA487}" type="parTrans" cxnId="{AF6E4214-E904-4DD1-94CA-B40F60B4C53A}">
      <dgm:prSet/>
      <dgm:spPr/>
      <dgm:t>
        <a:bodyPr/>
        <a:lstStyle/>
        <a:p>
          <a:endParaRPr lang="es-CO"/>
        </a:p>
      </dgm:t>
    </dgm:pt>
    <dgm:pt modelId="{9ABED994-98D7-4DE9-9A47-E0D360293994}" type="sibTrans" cxnId="{AF6E4214-E904-4DD1-94CA-B40F60B4C53A}">
      <dgm:prSet/>
      <dgm:spPr/>
      <dgm:t>
        <a:bodyPr/>
        <a:lstStyle/>
        <a:p>
          <a:endParaRPr lang="es-CO"/>
        </a:p>
      </dgm:t>
    </dgm:pt>
    <dgm:pt modelId="{7C1A9D75-81ED-4621-A1C6-B285CE5A4181}">
      <dgm:prSet phldrT="[Texto]" custT="1"/>
      <dgm:spPr/>
      <dgm:t>
        <a:bodyPr/>
        <a:lstStyle/>
        <a:p>
          <a:r>
            <a:rPr lang="es-CO" sz="2000"/>
            <a:t>PRECIO</a:t>
          </a:r>
        </a:p>
      </dgm:t>
    </dgm:pt>
    <dgm:pt modelId="{AA098C1D-F3D8-4E45-8218-E255CDB037B6}" type="parTrans" cxnId="{B8BFBC39-27FB-47A5-90B3-74EEC55F90CF}">
      <dgm:prSet/>
      <dgm:spPr/>
      <dgm:t>
        <a:bodyPr/>
        <a:lstStyle/>
        <a:p>
          <a:endParaRPr lang="es-CO"/>
        </a:p>
      </dgm:t>
    </dgm:pt>
    <dgm:pt modelId="{0916A5C3-B8AF-4ACA-BC5D-1DC1A9A6BFC7}" type="sibTrans" cxnId="{B8BFBC39-27FB-47A5-90B3-74EEC55F90CF}">
      <dgm:prSet/>
      <dgm:spPr/>
      <dgm:t>
        <a:bodyPr/>
        <a:lstStyle/>
        <a:p>
          <a:endParaRPr lang="es-CO"/>
        </a:p>
      </dgm:t>
    </dgm:pt>
    <dgm:pt modelId="{0808E894-4F3E-4459-BA2E-FCC1733E7740}">
      <dgm:prSet phldrT="[Texto]" custT="1"/>
      <dgm:spPr/>
      <dgm:t>
        <a:bodyPr/>
        <a:lstStyle/>
        <a:p>
          <a:r>
            <a:rPr lang="es-CO" sz="2000"/>
            <a:t>COSTO PRODUCTO</a:t>
          </a:r>
        </a:p>
      </dgm:t>
    </dgm:pt>
    <dgm:pt modelId="{16FB6BF5-F9D1-46D1-9BB6-E7FD48C67BE8}" type="parTrans" cxnId="{DE0DA33F-870E-4252-A948-EE29491489C1}">
      <dgm:prSet/>
      <dgm:spPr/>
      <dgm:t>
        <a:bodyPr/>
        <a:lstStyle/>
        <a:p>
          <a:endParaRPr lang="es-CO"/>
        </a:p>
      </dgm:t>
    </dgm:pt>
    <dgm:pt modelId="{F37D2630-BC30-470E-925B-147F6CB99B09}" type="sibTrans" cxnId="{DE0DA33F-870E-4252-A948-EE29491489C1}">
      <dgm:prSet/>
      <dgm:spPr/>
      <dgm:t>
        <a:bodyPr/>
        <a:lstStyle/>
        <a:p>
          <a:endParaRPr lang="es-CO"/>
        </a:p>
      </dgm:t>
    </dgm:pt>
    <dgm:pt modelId="{9804ACAA-B8EA-44E8-B37C-4AD7AF9010FF}">
      <dgm:prSet phldrT="[Texto]" custT="1"/>
      <dgm:spPr/>
      <dgm:t>
        <a:bodyPr/>
        <a:lstStyle/>
        <a:p>
          <a:r>
            <a:rPr lang="es-CO" sz="2000"/>
            <a:t>GASTOS TOTALES                     </a:t>
          </a:r>
          <a:r>
            <a:rPr lang="es-CO" sz="1400"/>
            <a:t>( Comercial - Supply - Administrativo)</a:t>
          </a:r>
        </a:p>
      </dgm:t>
    </dgm:pt>
    <dgm:pt modelId="{C9A6263F-80DB-4D8F-88D5-BD37B960BFF3}" type="parTrans" cxnId="{1FCBB440-0E95-4D6D-A5B0-4B4B678C0338}">
      <dgm:prSet/>
      <dgm:spPr/>
      <dgm:t>
        <a:bodyPr/>
        <a:lstStyle/>
        <a:p>
          <a:endParaRPr lang="es-CO"/>
        </a:p>
      </dgm:t>
    </dgm:pt>
    <dgm:pt modelId="{90DC83E0-DCA3-4897-BB7A-8BFA55136639}" type="sibTrans" cxnId="{1FCBB440-0E95-4D6D-A5B0-4B4B678C0338}">
      <dgm:prSet/>
      <dgm:spPr/>
      <dgm:t>
        <a:bodyPr/>
        <a:lstStyle/>
        <a:p>
          <a:endParaRPr lang="es-CO"/>
        </a:p>
      </dgm:t>
    </dgm:pt>
    <dgm:pt modelId="{3BF36CBA-994B-49D2-85AB-E21B67C328C5}">
      <dgm:prSet phldrT="[Texto]" custT="1"/>
      <dgm:spPr/>
      <dgm:t>
        <a:bodyPr/>
        <a:lstStyle/>
        <a:p>
          <a:r>
            <a:rPr lang="es-CO" sz="2000"/>
            <a:t>GASTO ADM</a:t>
          </a:r>
        </a:p>
      </dgm:t>
    </dgm:pt>
    <dgm:pt modelId="{F9CCEEC7-37E2-4E2E-BC1A-8145DC2F400A}" type="parTrans" cxnId="{EE010E57-CCF0-4218-800D-880D84B5EF24}">
      <dgm:prSet/>
      <dgm:spPr/>
      <dgm:t>
        <a:bodyPr/>
        <a:lstStyle/>
        <a:p>
          <a:endParaRPr lang="es-CO"/>
        </a:p>
      </dgm:t>
    </dgm:pt>
    <dgm:pt modelId="{26BA8413-E296-462B-8AD9-E211C67A78E7}" type="sibTrans" cxnId="{EE010E57-CCF0-4218-800D-880D84B5EF24}">
      <dgm:prSet/>
      <dgm:spPr/>
      <dgm:t>
        <a:bodyPr/>
        <a:lstStyle/>
        <a:p>
          <a:endParaRPr lang="es-CO"/>
        </a:p>
      </dgm:t>
    </dgm:pt>
    <dgm:pt modelId="{219FD3CC-659C-488B-80E2-38B523E7597D}">
      <dgm:prSet phldrT="[Texto]" custT="1"/>
      <dgm:spPr/>
      <dgm:t>
        <a:bodyPr/>
        <a:lstStyle/>
        <a:p>
          <a:r>
            <a:rPr lang="es-CO" sz="1400"/>
            <a:t>Se suma depreciación - Amortización - Intereses.</a:t>
          </a:r>
        </a:p>
      </dgm:t>
    </dgm:pt>
    <dgm:pt modelId="{87AC2838-9EA3-40F9-91A1-6D4C3AAE776A}" type="parTrans" cxnId="{AC3FF176-27C4-476C-BA69-6F371DDC866B}">
      <dgm:prSet/>
      <dgm:spPr/>
      <dgm:t>
        <a:bodyPr/>
        <a:lstStyle/>
        <a:p>
          <a:endParaRPr lang="es-CO"/>
        </a:p>
      </dgm:t>
    </dgm:pt>
    <dgm:pt modelId="{2DD3530C-37E5-4767-A9EA-F1BF3EEB570B}" type="sibTrans" cxnId="{AC3FF176-27C4-476C-BA69-6F371DDC866B}">
      <dgm:prSet/>
      <dgm:spPr/>
      <dgm:t>
        <a:bodyPr/>
        <a:lstStyle/>
        <a:p>
          <a:endParaRPr lang="es-CO"/>
        </a:p>
      </dgm:t>
    </dgm:pt>
    <dgm:pt modelId="{8567B895-DFC4-45E4-A2A5-6CC6B0A59EB4}" type="pres">
      <dgm:prSet presAssocID="{20F7F24D-7CFE-4521-9E91-94E822C8C357}" presName="Name0" presStyleCnt="0">
        <dgm:presLayoutVars>
          <dgm:dir/>
          <dgm:animLvl val="lvl"/>
          <dgm:resizeHandles val="exact"/>
        </dgm:presLayoutVars>
      </dgm:prSet>
      <dgm:spPr/>
    </dgm:pt>
    <dgm:pt modelId="{96990405-8341-48E6-8461-712AD76501F3}" type="pres">
      <dgm:prSet presAssocID="{DE67A8FB-BAA1-4DE8-AAEB-F32F41D9B9F6}" presName="composite" presStyleCnt="0"/>
      <dgm:spPr/>
    </dgm:pt>
    <dgm:pt modelId="{AB847A3A-C9C3-43EF-8106-5F6CA710E316}" type="pres">
      <dgm:prSet presAssocID="{DE67A8FB-BAA1-4DE8-AAEB-F32F41D9B9F6}" presName="parTx" presStyleLbl="alignNode1" presStyleIdx="0" presStyleCnt="3" custLinFactNeighborX="-1479" custLinFactNeighborY="3570">
        <dgm:presLayoutVars>
          <dgm:chMax val="0"/>
          <dgm:chPref val="0"/>
          <dgm:bulletEnabled val="1"/>
        </dgm:presLayoutVars>
      </dgm:prSet>
      <dgm:spPr/>
    </dgm:pt>
    <dgm:pt modelId="{FB79895B-17DA-42ED-BFF9-5B6995EBE93D}" type="pres">
      <dgm:prSet presAssocID="{DE67A8FB-BAA1-4DE8-AAEB-F32F41D9B9F6}" presName="desTx" presStyleLbl="alignAccFollowNode1" presStyleIdx="0" presStyleCnt="3">
        <dgm:presLayoutVars>
          <dgm:bulletEnabled val="1"/>
        </dgm:presLayoutVars>
      </dgm:prSet>
      <dgm:spPr/>
    </dgm:pt>
    <dgm:pt modelId="{5E81C65E-ECFC-489C-93A4-C94C76A164C0}" type="pres">
      <dgm:prSet presAssocID="{6B4F9659-8B53-4C95-A9EC-8597C6BEA80B}" presName="space" presStyleCnt="0"/>
      <dgm:spPr/>
    </dgm:pt>
    <dgm:pt modelId="{F7DB2EC1-67EB-4045-933B-9969071C7504}" type="pres">
      <dgm:prSet presAssocID="{A5BA605E-0C24-42D5-9898-641AE873CFCC}" presName="composite" presStyleCnt="0"/>
      <dgm:spPr/>
    </dgm:pt>
    <dgm:pt modelId="{989C1909-B496-40E6-8FF2-A5A850FE9E9A}" type="pres">
      <dgm:prSet presAssocID="{A5BA605E-0C24-42D5-9898-641AE873CFCC}" presName="parTx" presStyleLbl="alignNode1" presStyleIdx="1" presStyleCnt="3">
        <dgm:presLayoutVars>
          <dgm:chMax val="0"/>
          <dgm:chPref val="0"/>
          <dgm:bulletEnabled val="1"/>
        </dgm:presLayoutVars>
      </dgm:prSet>
      <dgm:spPr/>
    </dgm:pt>
    <dgm:pt modelId="{85ADD915-5E36-434B-8546-C9FB768C046C}" type="pres">
      <dgm:prSet presAssocID="{A5BA605E-0C24-42D5-9898-641AE873CFCC}" presName="desTx" presStyleLbl="alignAccFollowNode1" presStyleIdx="1" presStyleCnt="3">
        <dgm:presLayoutVars>
          <dgm:bulletEnabled val="1"/>
        </dgm:presLayoutVars>
      </dgm:prSet>
      <dgm:spPr/>
    </dgm:pt>
    <dgm:pt modelId="{200AD108-6D23-4FDA-A45B-A4FE059320E3}" type="pres">
      <dgm:prSet presAssocID="{5BB3A753-158D-4629-96AC-EE29970396FE}" presName="space" presStyleCnt="0"/>
      <dgm:spPr/>
    </dgm:pt>
    <dgm:pt modelId="{B13D0359-62EF-47F5-ACD5-5948A90EDB38}" type="pres">
      <dgm:prSet presAssocID="{9DE4D967-7F14-4190-A4D3-C959C9F86E49}" presName="composite" presStyleCnt="0"/>
      <dgm:spPr/>
    </dgm:pt>
    <dgm:pt modelId="{ECB9C410-AFB2-4D86-96B4-131C0E9834CF}" type="pres">
      <dgm:prSet presAssocID="{9DE4D967-7F14-4190-A4D3-C959C9F86E49}" presName="parTx" presStyleLbl="alignNode1" presStyleIdx="2" presStyleCnt="3">
        <dgm:presLayoutVars>
          <dgm:chMax val="0"/>
          <dgm:chPref val="0"/>
          <dgm:bulletEnabled val="1"/>
        </dgm:presLayoutVars>
      </dgm:prSet>
      <dgm:spPr/>
    </dgm:pt>
    <dgm:pt modelId="{30ABB24C-2504-4D54-9D20-4EB67C139870}" type="pres">
      <dgm:prSet presAssocID="{9DE4D967-7F14-4190-A4D3-C959C9F86E49}" presName="desTx" presStyleLbl="alignAccFollowNode1" presStyleIdx="2" presStyleCnt="3">
        <dgm:presLayoutVars>
          <dgm:bulletEnabled val="1"/>
        </dgm:presLayoutVars>
      </dgm:prSet>
      <dgm:spPr/>
    </dgm:pt>
  </dgm:ptLst>
  <dgm:cxnLst>
    <dgm:cxn modelId="{AF6E4214-E904-4DD1-94CA-B40F60B4C53A}" srcId="{20F7F24D-7CFE-4521-9E91-94E822C8C357}" destId="{9DE4D967-7F14-4190-A4D3-C959C9F86E49}" srcOrd="2" destOrd="0" parTransId="{9D79BA06-1216-476A-A12A-9550311BA487}" sibTransId="{9ABED994-98D7-4DE9-9A47-E0D360293994}"/>
    <dgm:cxn modelId="{F664C01D-D62B-4AFE-BDAE-2D86BAA5C34D}" srcId="{A5BA605E-0C24-42D5-9898-641AE873CFCC}" destId="{C16DE09D-172F-4C21-AD3B-1FF316E8529D}" srcOrd="0" destOrd="0" parTransId="{57D94622-703B-464E-B5A2-DBC013BF5D0A}" sibTransId="{352D04AA-84A8-41A2-870B-D9593CA0817F}"/>
    <dgm:cxn modelId="{FFB46624-F659-419E-8E71-23F8B8E0A15D}" type="presOf" srcId="{9804ACAA-B8EA-44E8-B37C-4AD7AF9010FF}" destId="{30ABB24C-2504-4D54-9D20-4EB67C139870}" srcOrd="0" destOrd="2" presId="urn:microsoft.com/office/officeart/2005/8/layout/hList1"/>
    <dgm:cxn modelId="{A96A2738-F051-4C67-A4C6-2BBB1C0FA1CC}" srcId="{DE67A8FB-BAA1-4DE8-AAEB-F32F41D9B9F6}" destId="{9A954E85-7999-455C-8ABA-43E3E68DC67A}" srcOrd="1" destOrd="0" parTransId="{8FCFEDB2-FAF7-4918-B597-0DE8CB75B1A6}" sibTransId="{10FA72D2-2679-44E0-A8DD-B5DF2D3DEDCE}"/>
    <dgm:cxn modelId="{B8BFBC39-27FB-47A5-90B3-74EEC55F90CF}" srcId="{9DE4D967-7F14-4190-A4D3-C959C9F86E49}" destId="{7C1A9D75-81ED-4621-A1C6-B285CE5A4181}" srcOrd="0" destOrd="0" parTransId="{AA098C1D-F3D8-4E45-8218-E255CDB037B6}" sibTransId="{0916A5C3-B8AF-4ACA-BC5D-1DC1A9A6BFC7}"/>
    <dgm:cxn modelId="{B699EB3C-D131-4658-A957-CEF449EB24C9}" type="presOf" srcId="{22A6DF0D-0AAF-48BA-9910-5F857AC821A9}" destId="{FB79895B-17DA-42ED-BFF9-5B6995EBE93D}" srcOrd="0" destOrd="0" presId="urn:microsoft.com/office/officeart/2005/8/layout/hList1"/>
    <dgm:cxn modelId="{DE0DA33F-870E-4252-A948-EE29491489C1}" srcId="{9DE4D967-7F14-4190-A4D3-C959C9F86E49}" destId="{0808E894-4F3E-4459-BA2E-FCC1733E7740}" srcOrd="1" destOrd="0" parTransId="{16FB6BF5-F9D1-46D1-9BB6-E7FD48C67BE8}" sibTransId="{F37D2630-BC30-470E-925B-147F6CB99B09}"/>
    <dgm:cxn modelId="{1FCBB440-0E95-4D6D-A5B0-4B4B678C0338}" srcId="{9DE4D967-7F14-4190-A4D3-C959C9F86E49}" destId="{9804ACAA-B8EA-44E8-B37C-4AD7AF9010FF}" srcOrd="2" destOrd="0" parTransId="{C9A6263F-80DB-4D8F-88D5-BD37B960BFF3}" sibTransId="{90DC83E0-DCA3-4897-BB7A-8BFA55136639}"/>
    <dgm:cxn modelId="{1F857F5B-105A-422C-AE37-B4CE4D27768E}" type="presOf" srcId="{219FD3CC-659C-488B-80E2-38B523E7597D}" destId="{30ABB24C-2504-4D54-9D20-4EB67C139870}" srcOrd="0" destOrd="3" presId="urn:microsoft.com/office/officeart/2005/8/layout/hList1"/>
    <dgm:cxn modelId="{359BD949-B75A-47EA-BE3B-332B86A99C6C}" srcId="{20F7F24D-7CFE-4521-9E91-94E822C8C357}" destId="{DE67A8FB-BAA1-4DE8-AAEB-F32F41D9B9F6}" srcOrd="0" destOrd="0" parTransId="{7C097AF0-2499-47AA-98E9-92B61F420F94}" sibTransId="{6B4F9659-8B53-4C95-A9EC-8597C6BEA80B}"/>
    <dgm:cxn modelId="{380D164E-FB50-4573-8C25-D36C87AB06A0}" type="presOf" srcId="{9DE4D967-7F14-4190-A4D3-C959C9F86E49}" destId="{ECB9C410-AFB2-4D86-96B4-131C0E9834CF}" srcOrd="0" destOrd="0" presId="urn:microsoft.com/office/officeart/2005/8/layout/hList1"/>
    <dgm:cxn modelId="{CE63CC6E-38A9-4EC7-91F0-CC3AF3BAA080}" type="presOf" srcId="{0808E894-4F3E-4459-BA2E-FCC1733E7740}" destId="{30ABB24C-2504-4D54-9D20-4EB67C139870}" srcOrd="0" destOrd="1" presId="urn:microsoft.com/office/officeart/2005/8/layout/hList1"/>
    <dgm:cxn modelId="{584E6271-F560-40A2-95C7-12938980BAD4}" srcId="{20F7F24D-7CFE-4521-9E91-94E822C8C357}" destId="{A5BA605E-0C24-42D5-9898-641AE873CFCC}" srcOrd="1" destOrd="0" parTransId="{11805233-27E2-4A47-8A8D-DC02EA7CF2BC}" sibTransId="{5BB3A753-158D-4629-96AC-EE29970396FE}"/>
    <dgm:cxn modelId="{876DE174-3D2A-4706-9DC7-19F02BD758F0}" type="presOf" srcId="{C3D8FA33-4CC5-44ED-9D95-828E301B5574}" destId="{85ADD915-5E36-434B-8546-C9FB768C046C}" srcOrd="0" destOrd="1" presId="urn:microsoft.com/office/officeart/2005/8/layout/hList1"/>
    <dgm:cxn modelId="{898FA276-9A52-4C95-B82F-55FAB7CD5530}" srcId="{A5BA605E-0C24-42D5-9898-641AE873CFCC}" destId="{C3D8FA33-4CC5-44ED-9D95-828E301B5574}" srcOrd="1" destOrd="0" parTransId="{62BB23C3-D69C-4193-8AB9-EB04B89F7C29}" sibTransId="{D7B855D2-EBF6-427A-BAA4-1C7A6BD6036A}"/>
    <dgm:cxn modelId="{AC3FF176-27C4-476C-BA69-6F371DDC866B}" srcId="{9DE4D967-7F14-4190-A4D3-C959C9F86E49}" destId="{219FD3CC-659C-488B-80E2-38B523E7597D}" srcOrd="3" destOrd="0" parTransId="{87AC2838-9EA3-40F9-91A1-6D4C3AAE776A}" sibTransId="{2DD3530C-37E5-4767-A9EA-F1BF3EEB570B}"/>
    <dgm:cxn modelId="{EE010E57-CCF0-4218-800D-880D84B5EF24}" srcId="{A5BA605E-0C24-42D5-9898-641AE873CFCC}" destId="{3BF36CBA-994B-49D2-85AB-E21B67C328C5}" srcOrd="2" destOrd="0" parTransId="{F9CCEEC7-37E2-4E2E-BC1A-8145DC2F400A}" sibTransId="{26BA8413-E296-462B-8AD9-E211C67A78E7}"/>
    <dgm:cxn modelId="{437CE27C-4791-40DB-9333-FA0C6A4E6A10}" type="presOf" srcId="{DE67A8FB-BAA1-4DE8-AAEB-F32F41D9B9F6}" destId="{AB847A3A-C9C3-43EF-8106-5F6CA710E316}" srcOrd="0" destOrd="0" presId="urn:microsoft.com/office/officeart/2005/8/layout/hList1"/>
    <dgm:cxn modelId="{E605FF83-F868-4015-96F9-8E5DE685D801}" type="presOf" srcId="{3BF36CBA-994B-49D2-85AB-E21B67C328C5}" destId="{85ADD915-5E36-434B-8546-C9FB768C046C}" srcOrd="0" destOrd="2" presId="urn:microsoft.com/office/officeart/2005/8/layout/hList1"/>
    <dgm:cxn modelId="{2DB0BB94-AF1D-4A4D-8FA6-D9CD7DFA2850}" type="presOf" srcId="{A5BA605E-0C24-42D5-9898-641AE873CFCC}" destId="{989C1909-B496-40E6-8FF2-A5A850FE9E9A}" srcOrd="0" destOrd="0" presId="urn:microsoft.com/office/officeart/2005/8/layout/hList1"/>
    <dgm:cxn modelId="{515B5F96-D6E4-4121-AECA-0C82638AEE08}" type="presOf" srcId="{20F7F24D-7CFE-4521-9E91-94E822C8C357}" destId="{8567B895-DFC4-45E4-A2A5-6CC6B0A59EB4}" srcOrd="0" destOrd="0" presId="urn:microsoft.com/office/officeart/2005/8/layout/hList1"/>
    <dgm:cxn modelId="{92A9ABD0-3164-4574-9F20-48F00D97CF35}" srcId="{DE67A8FB-BAA1-4DE8-AAEB-F32F41D9B9F6}" destId="{22A6DF0D-0AAF-48BA-9910-5F857AC821A9}" srcOrd="0" destOrd="0" parTransId="{43D7B39E-B696-4C71-9EA9-13D9B31E210C}" sibTransId="{B01DC70E-7E69-4ECF-9E7C-1FF2A4542103}"/>
    <dgm:cxn modelId="{A44E0FDB-055C-41D9-8F27-2F3FABD53C41}" type="presOf" srcId="{7C1A9D75-81ED-4621-A1C6-B285CE5A4181}" destId="{30ABB24C-2504-4D54-9D20-4EB67C139870}" srcOrd="0" destOrd="0" presId="urn:microsoft.com/office/officeart/2005/8/layout/hList1"/>
    <dgm:cxn modelId="{F4B384DF-BBE6-4FD0-967C-0F6E1B4DB39E}" type="presOf" srcId="{C16DE09D-172F-4C21-AD3B-1FF316E8529D}" destId="{85ADD915-5E36-434B-8546-C9FB768C046C}" srcOrd="0" destOrd="0" presId="urn:microsoft.com/office/officeart/2005/8/layout/hList1"/>
    <dgm:cxn modelId="{4729FCF2-64C5-4B5F-92B5-425B78B0E38E}" type="presOf" srcId="{9A954E85-7999-455C-8ABA-43E3E68DC67A}" destId="{FB79895B-17DA-42ED-BFF9-5B6995EBE93D}" srcOrd="0" destOrd="1" presId="urn:microsoft.com/office/officeart/2005/8/layout/hList1"/>
    <dgm:cxn modelId="{3C4697C9-3C40-48D5-B7B6-3BC624CF1508}" type="presParOf" srcId="{8567B895-DFC4-45E4-A2A5-6CC6B0A59EB4}" destId="{96990405-8341-48E6-8461-712AD76501F3}" srcOrd="0" destOrd="0" presId="urn:microsoft.com/office/officeart/2005/8/layout/hList1"/>
    <dgm:cxn modelId="{C222E8AA-5889-4709-902C-25717B74700D}" type="presParOf" srcId="{96990405-8341-48E6-8461-712AD76501F3}" destId="{AB847A3A-C9C3-43EF-8106-5F6CA710E316}" srcOrd="0" destOrd="0" presId="urn:microsoft.com/office/officeart/2005/8/layout/hList1"/>
    <dgm:cxn modelId="{0BC6B2C3-FDC2-40CD-AB88-91A82A82ED9E}" type="presParOf" srcId="{96990405-8341-48E6-8461-712AD76501F3}" destId="{FB79895B-17DA-42ED-BFF9-5B6995EBE93D}" srcOrd="1" destOrd="0" presId="urn:microsoft.com/office/officeart/2005/8/layout/hList1"/>
    <dgm:cxn modelId="{2A47112D-2630-49C1-8874-3A00EC15E996}" type="presParOf" srcId="{8567B895-DFC4-45E4-A2A5-6CC6B0A59EB4}" destId="{5E81C65E-ECFC-489C-93A4-C94C76A164C0}" srcOrd="1" destOrd="0" presId="urn:microsoft.com/office/officeart/2005/8/layout/hList1"/>
    <dgm:cxn modelId="{22E31103-6DCB-4591-93DE-B206C5F5645C}" type="presParOf" srcId="{8567B895-DFC4-45E4-A2A5-6CC6B0A59EB4}" destId="{F7DB2EC1-67EB-4045-933B-9969071C7504}" srcOrd="2" destOrd="0" presId="urn:microsoft.com/office/officeart/2005/8/layout/hList1"/>
    <dgm:cxn modelId="{3A4BFB8F-1AC5-4F51-B278-BFDB07ABEA53}" type="presParOf" srcId="{F7DB2EC1-67EB-4045-933B-9969071C7504}" destId="{989C1909-B496-40E6-8FF2-A5A850FE9E9A}" srcOrd="0" destOrd="0" presId="urn:microsoft.com/office/officeart/2005/8/layout/hList1"/>
    <dgm:cxn modelId="{C3752EC4-A17F-4C4B-B7E0-A34DB87D592E}" type="presParOf" srcId="{F7DB2EC1-67EB-4045-933B-9969071C7504}" destId="{85ADD915-5E36-434B-8546-C9FB768C046C}" srcOrd="1" destOrd="0" presId="urn:microsoft.com/office/officeart/2005/8/layout/hList1"/>
    <dgm:cxn modelId="{A13715E2-1004-4DEF-85F0-C83B0EE7DCAD}" type="presParOf" srcId="{8567B895-DFC4-45E4-A2A5-6CC6B0A59EB4}" destId="{200AD108-6D23-4FDA-A45B-A4FE059320E3}" srcOrd="3" destOrd="0" presId="urn:microsoft.com/office/officeart/2005/8/layout/hList1"/>
    <dgm:cxn modelId="{31C4D9DB-B660-4181-AF06-103B96C3F4C5}" type="presParOf" srcId="{8567B895-DFC4-45E4-A2A5-6CC6B0A59EB4}" destId="{B13D0359-62EF-47F5-ACD5-5948A90EDB38}" srcOrd="4" destOrd="0" presId="urn:microsoft.com/office/officeart/2005/8/layout/hList1"/>
    <dgm:cxn modelId="{52C34867-DEB0-4D39-8AA6-9E45299E321F}" type="presParOf" srcId="{B13D0359-62EF-47F5-ACD5-5948A90EDB38}" destId="{ECB9C410-AFB2-4D86-96B4-131C0E9834CF}" srcOrd="0" destOrd="0" presId="urn:microsoft.com/office/officeart/2005/8/layout/hList1"/>
    <dgm:cxn modelId="{6DB6EC6F-E512-49B9-B49F-FA81756132B7}" type="presParOf" srcId="{B13D0359-62EF-47F5-ACD5-5948A90EDB38}" destId="{30ABB24C-2504-4D54-9D20-4EB67C139870}" srcOrd="1" destOrd="0" presId="urn:microsoft.com/office/officeart/2005/8/layout/hLis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B847A3A-C9C3-43EF-8106-5F6CA710E316}">
      <dsp:nvSpPr>
        <dsp:cNvPr id="0" name=""/>
        <dsp:cNvSpPr/>
      </dsp:nvSpPr>
      <dsp:spPr>
        <a:xfrm>
          <a:off x="0" y="42984"/>
          <a:ext cx="2910855" cy="723085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42240" tIns="81280" rIns="142240" bIns="8128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2000" kern="1200"/>
            <a:t>Margen Bruto (GM)</a:t>
          </a:r>
        </a:p>
      </dsp:txBody>
      <dsp:txXfrm>
        <a:off x="0" y="42984"/>
        <a:ext cx="2910855" cy="723085"/>
      </dsp:txXfrm>
    </dsp:sp>
    <dsp:sp modelId="{FB79895B-17DA-42ED-BFF9-5B6995EBE93D}">
      <dsp:nvSpPr>
        <dsp:cNvPr id="0" name=""/>
        <dsp:cNvSpPr/>
      </dsp:nvSpPr>
      <dsp:spPr>
        <a:xfrm>
          <a:off x="2985" y="740256"/>
          <a:ext cx="2910855" cy="2038162"/>
        </a:xfrm>
        <a:prstGeom prst="rect">
          <a:avLst/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06680" tIns="106680" rIns="142240" bIns="160020" numCol="1" spcCol="1270" anchor="t" anchorCtr="0">
          <a:noAutofit/>
        </a:bodyPr>
        <a:lstStyle/>
        <a:p>
          <a:pPr marL="228600" lvl="1" indent="-228600" algn="l" defTabSz="8890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s-CO" sz="2000" kern="1200"/>
            <a:t>COSTO PRODUCTO</a:t>
          </a:r>
        </a:p>
        <a:p>
          <a:pPr marL="228600" lvl="1" indent="-228600" algn="l" defTabSz="8890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s-CO" sz="2000" kern="1200"/>
            <a:t>PRECIO</a:t>
          </a:r>
        </a:p>
      </dsp:txBody>
      <dsp:txXfrm>
        <a:off x="2985" y="740256"/>
        <a:ext cx="2910855" cy="2038162"/>
      </dsp:txXfrm>
    </dsp:sp>
    <dsp:sp modelId="{989C1909-B496-40E6-8FF2-A5A850FE9E9A}">
      <dsp:nvSpPr>
        <dsp:cNvPr id="0" name=""/>
        <dsp:cNvSpPr/>
      </dsp:nvSpPr>
      <dsp:spPr>
        <a:xfrm>
          <a:off x="3321360" y="17170"/>
          <a:ext cx="2910855" cy="723085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42240" tIns="81280" rIns="142240" bIns="8128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2000" kern="1200"/>
            <a:t>Margen Operacional ( EBIT)</a:t>
          </a:r>
        </a:p>
      </dsp:txBody>
      <dsp:txXfrm>
        <a:off x="3321360" y="17170"/>
        <a:ext cx="2910855" cy="723085"/>
      </dsp:txXfrm>
    </dsp:sp>
    <dsp:sp modelId="{85ADD915-5E36-434B-8546-C9FB768C046C}">
      <dsp:nvSpPr>
        <dsp:cNvPr id="0" name=""/>
        <dsp:cNvSpPr/>
      </dsp:nvSpPr>
      <dsp:spPr>
        <a:xfrm>
          <a:off x="3321360" y="740256"/>
          <a:ext cx="2910855" cy="2038162"/>
        </a:xfrm>
        <a:prstGeom prst="rect">
          <a:avLst/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06680" tIns="106680" rIns="142240" bIns="160020" numCol="1" spcCol="1270" anchor="t" anchorCtr="0">
          <a:noAutofit/>
        </a:bodyPr>
        <a:lstStyle/>
        <a:p>
          <a:pPr marL="228600" lvl="1" indent="-228600" algn="l" defTabSz="8890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s-CO" sz="2000" kern="1200"/>
            <a:t>GASTO COMERCIAL</a:t>
          </a:r>
        </a:p>
        <a:p>
          <a:pPr marL="228600" lvl="1" indent="-228600" algn="l" defTabSz="8890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s-CO" sz="2000" kern="1200"/>
            <a:t>GASTO SUPPLY</a:t>
          </a:r>
        </a:p>
        <a:p>
          <a:pPr marL="228600" lvl="1" indent="-228600" algn="l" defTabSz="8890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s-CO" sz="2000" kern="1200"/>
            <a:t>GASTO ADM</a:t>
          </a:r>
        </a:p>
      </dsp:txBody>
      <dsp:txXfrm>
        <a:off x="3321360" y="740256"/>
        <a:ext cx="2910855" cy="2038162"/>
      </dsp:txXfrm>
    </dsp:sp>
    <dsp:sp modelId="{ECB9C410-AFB2-4D86-96B4-131C0E9834CF}">
      <dsp:nvSpPr>
        <dsp:cNvPr id="0" name=""/>
        <dsp:cNvSpPr/>
      </dsp:nvSpPr>
      <dsp:spPr>
        <a:xfrm>
          <a:off x="6639735" y="17170"/>
          <a:ext cx="2910855" cy="723085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42240" tIns="81280" rIns="142240" bIns="8128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2000" kern="1200"/>
            <a:t>EBITDA</a:t>
          </a:r>
        </a:p>
      </dsp:txBody>
      <dsp:txXfrm>
        <a:off x="6639735" y="17170"/>
        <a:ext cx="2910855" cy="723085"/>
      </dsp:txXfrm>
    </dsp:sp>
    <dsp:sp modelId="{30ABB24C-2504-4D54-9D20-4EB67C139870}">
      <dsp:nvSpPr>
        <dsp:cNvPr id="0" name=""/>
        <dsp:cNvSpPr/>
      </dsp:nvSpPr>
      <dsp:spPr>
        <a:xfrm>
          <a:off x="6639735" y="740256"/>
          <a:ext cx="2910855" cy="2038162"/>
        </a:xfrm>
        <a:prstGeom prst="rect">
          <a:avLst/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06680" tIns="106680" rIns="142240" bIns="160020" numCol="1" spcCol="1270" anchor="t" anchorCtr="0">
          <a:noAutofit/>
        </a:bodyPr>
        <a:lstStyle/>
        <a:p>
          <a:pPr marL="228600" lvl="1" indent="-228600" algn="l" defTabSz="8890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s-CO" sz="2000" kern="1200"/>
            <a:t>PRECIO</a:t>
          </a:r>
        </a:p>
        <a:p>
          <a:pPr marL="228600" lvl="1" indent="-228600" algn="l" defTabSz="8890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s-CO" sz="2000" kern="1200"/>
            <a:t>COSTO PRODUCTO</a:t>
          </a:r>
        </a:p>
        <a:p>
          <a:pPr marL="228600" lvl="1" indent="-228600" algn="l" defTabSz="8890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s-CO" sz="2000" kern="1200"/>
            <a:t>GASTOS TOTALES                     </a:t>
          </a:r>
          <a:r>
            <a:rPr lang="es-CO" sz="1400" kern="1200"/>
            <a:t>( Comercial - Supply - Administrativo)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s-CO" sz="1400" kern="1200"/>
            <a:t>Se suma depreciación - Amortización - Intereses.</a:t>
          </a:r>
        </a:p>
      </dsp:txBody>
      <dsp:txXfrm>
        <a:off x="6639735" y="740256"/>
        <a:ext cx="2910855" cy="2038162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List1">
  <dgm:title val=""/>
  <dgm:desc val=""/>
  <dgm:catLst>
    <dgm:cat type="list" pri="5000"/>
    <dgm:cat type="convert" pri="5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composite" refType="h"/>
      <dgm:constr type="w" for="ch" forName="composite" refType="w"/>
      <dgm:constr type="w" for="des" forName="parTx"/>
      <dgm:constr type="h" for="des" forName="parTx" op="equ"/>
      <dgm:constr type="w" for="des" forName="desTx"/>
      <dgm:constr type="h" for="des" forName="desTx" op="equ"/>
      <dgm:constr type="primFontSz" for="des" forName="parTx" val="65"/>
      <dgm:constr type="secFontSz" for="des" forName="desTx" refType="primFontSz" refFor="des" refForName="parTx" op="equ"/>
      <dgm:constr type="h" for="des" forName="parTx" refType="primFontSz" refFor="des" refForName="parTx" fact="0.8"/>
      <dgm:constr type="h" for="des" forName="desTx" refType="primFontSz" refFor="des" refForName="parTx" fact="1.22"/>
      <dgm:constr type="w" for="ch" forName="space" refType="w" refFor="ch" refForName="composite" op="equ" fact="0.14"/>
    </dgm:constrLst>
    <dgm:ruleLst>
      <dgm:rule type="w" for="ch" forName="composite" val="0" fact="NaN" max="NaN"/>
      <dgm:rule type="primFontSz" for="des" forName="parTx" val="5" fact="NaN" max="NaN"/>
    </dgm:ruleLst>
    <dgm:forEach name="Name4" axis="ch" ptType="node">
      <dgm:layoutNode name="composite">
        <dgm:alg type="composite"/>
        <dgm:shape xmlns:r="http://schemas.openxmlformats.org/officeDocument/2006/relationships" r:blip="">
          <dgm:adjLst/>
        </dgm:shape>
        <dgm:presOf/>
        <dgm:constrLst>
          <dgm:constr type="l" for="ch" forName="parTx"/>
          <dgm:constr type="w" for="ch" forName="parTx" refType="w"/>
          <dgm:constr type="t" for="ch" forName="parTx"/>
          <dgm:constr type="l" for="ch" forName="desTx"/>
          <dgm:constr type="w" for="ch" forName="desTx" refType="w" refFor="ch" refForName="parTx"/>
          <dgm:constr type="t" for="ch" forName="desTx" refType="h" refFor="ch" refForName="parTx"/>
        </dgm:constrLst>
        <dgm:ruleLst>
          <dgm:rule type="h" val="INF" fact="NaN" max="NaN"/>
        </dgm:ruleLst>
        <dgm:layoutNode name="parTx" styleLbl="alignNode1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>
            <dgm:adjLst/>
          </dgm:shape>
          <dgm:presOf axis="self" ptType="node"/>
          <dgm:constrLst>
            <dgm:constr type="h" refType="w" op="lte" fact="0.4"/>
            <dgm:constr type="h"/>
            <dgm:constr type="tMarg" refType="primFontSz" fact="0.32"/>
            <dgm:constr type="bMarg" refType="primFontSz" fact="0.32"/>
          </dgm:constrLst>
          <dgm:ruleLst>
            <dgm:rule type="h" val="INF" fact="NaN" max="NaN"/>
          </dgm:ruleLst>
        </dgm:layoutNode>
        <dgm:layoutNode name="desTx" styleLbl="alignAccFollowNode1">
          <dgm:varLst>
            <dgm:bulletEnabled val="1"/>
          </dgm:varLst>
          <dgm:alg type="tx">
            <dgm:param type="stBulletLvl" val="1"/>
          </dgm:alg>
          <dgm:shape xmlns:r="http://schemas.openxmlformats.org/officeDocument/2006/relationships" type="rect" r:blip="">
            <dgm:adjLst/>
          </dgm:shape>
          <dgm:presOf axis="des" ptType="node"/>
          <dgm:constrLst>
            <dgm:constr type="secFontSz" val="65"/>
            <dgm:constr type="primFontSz" refType="secFontSz"/>
            <dgm:constr type="h"/>
            <dgm:constr type="lMarg" refType="primFontSz" fact="0.42"/>
            <dgm:constr type="tMarg" refType="primFontSz" fact="0.42"/>
            <dgm:constr type="bMarg" refType="primFontSz" fact="0.63"/>
          </dgm:constrLst>
          <dgm:ruleLst>
            <dgm:rule type="h" val="INF" fact="NaN" max="NaN"/>
          </dgm:ruleLst>
        </dgm:layoutNode>
      </dgm:layoutNode>
      <dgm:forEach name="Name5" axis="followSib" ptType="sibTrans" cnt="1">
        <dgm:layoutNode name="space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grafico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diagramQuickStyle" Target="../diagrams/quickStyle1.xml"/><Relationship Id="rId7" Type="http://schemas.openxmlformats.org/officeDocument/2006/relationships/image" Target="../media/image13.png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image" Target="../media/image12.png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Relationship Id="rId9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82550</xdr:colOff>
      <xdr:row>38</xdr:row>
      <xdr:rowOff>146050</xdr:rowOff>
    </xdr:from>
    <xdr:to>
      <xdr:col>3</xdr:col>
      <xdr:colOff>514350</xdr:colOff>
      <xdr:row>40</xdr:row>
      <xdr:rowOff>38100</xdr:rowOff>
    </xdr:to>
    <xdr:sp macro="" textlink="">
      <xdr:nvSpPr>
        <xdr:cNvPr id="2" name="Flecha: a la derech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636A8-1337-4F34-B887-CABACE62C3D3}"/>
            </a:ext>
          </a:extLst>
        </xdr:cNvPr>
        <xdr:cNvSpPr/>
      </xdr:nvSpPr>
      <xdr:spPr>
        <a:xfrm>
          <a:off x="2368550" y="7385050"/>
          <a:ext cx="4318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35</xdr:row>
      <xdr:rowOff>127000</xdr:rowOff>
    </xdr:from>
    <xdr:to>
      <xdr:col>7</xdr:col>
      <xdr:colOff>152400</xdr:colOff>
      <xdr:row>37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80FCCE-6A3C-45EC-A63B-2A18BB941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6794500"/>
          <a:ext cx="279082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539750</xdr:colOff>
      <xdr:row>47</xdr:row>
      <xdr:rowOff>57150</xdr:rowOff>
    </xdr:from>
    <xdr:to>
      <xdr:col>5</xdr:col>
      <xdr:colOff>590550</xdr:colOff>
      <xdr:row>49</xdr:row>
      <xdr:rowOff>50800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E7EDD5-8D13-4B31-8B17-3D6026DA4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9010650"/>
          <a:ext cx="1717675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660400</xdr:colOff>
      <xdr:row>60</xdr:row>
      <xdr:rowOff>12700</xdr:rowOff>
    </xdr:from>
    <xdr:to>
      <xdr:col>6</xdr:col>
      <xdr:colOff>463550</xdr:colOff>
      <xdr:row>62</xdr:row>
      <xdr:rowOff>12700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2C41429-D295-4252-8E9C-5002B619B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7400" y="11442700"/>
          <a:ext cx="223202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558768</xdr:colOff>
      <xdr:row>1</xdr:row>
      <xdr:rowOff>71913</xdr:rowOff>
    </xdr:from>
    <xdr:ext cx="96019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D557ACFA-8CE5-41BC-AF70-AB8CB233BA46}"/>
                </a:ext>
              </a:extLst>
            </xdr:cNvPr>
            <xdr:cNvSpPr txBox="1"/>
          </xdr:nvSpPr>
          <xdr:spPr>
            <a:xfrm>
              <a:off x="11217243" y="262413"/>
              <a:ext cx="96019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1 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𝑘𝑔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1000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𝑔𝑟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D557ACFA-8CE5-41BC-AF70-AB8CB233BA46}"/>
                </a:ext>
              </a:extLst>
            </xdr:cNvPr>
            <xdr:cNvSpPr txBox="1"/>
          </xdr:nvSpPr>
          <xdr:spPr>
            <a:xfrm>
              <a:off x="11217243" y="262413"/>
              <a:ext cx="96019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 𝑘𝑔</a:t>
              </a:r>
              <a:r>
                <a:rPr lang="es-ES" sz="1100" i="0">
                  <a:latin typeface="Cambria Math" panose="02040503050406030204" pitchFamily="18" charset="0"/>
                </a:rPr>
                <a:t>=</a:t>
              </a:r>
              <a:r>
                <a:rPr lang="es-CO" sz="1100" b="0" i="0">
                  <a:latin typeface="Cambria Math" panose="02040503050406030204" pitchFamily="18" charset="0"/>
                </a:rPr>
                <a:t>1000𝑔𝑟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1</xdr:col>
      <xdr:colOff>1168368</xdr:colOff>
      <xdr:row>96</xdr:row>
      <xdr:rowOff>103663</xdr:rowOff>
    </xdr:from>
    <xdr:ext cx="2298001" cy="38036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B8A25B29-0CEC-466E-95A0-B619FECC63C9}"/>
                </a:ext>
              </a:extLst>
            </xdr:cNvPr>
            <xdr:cNvSpPr txBox="1"/>
          </xdr:nvSpPr>
          <xdr:spPr>
            <a:xfrm>
              <a:off x="1901793" y="18391663"/>
              <a:ext cx="2298001" cy="38036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%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𝐷𝑐𝑡𝑜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["/>
                        <m:endChr m:val="]"/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d>
                          <m:dPr>
                            <m:ctrlPr>
                              <a:rPr lang="es-CO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s-E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𝑃𝑟𝑒𝑐𝑖𝑜</m:t>
                                </m:r>
                                <m: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  <m: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𝐷𝑐𝑡𝑜</m:t>
                                </m:r>
                              </m:num>
                              <m:den>
                                <m: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𝑃𝑟𝑒𝑐𝑖𝑜</m:t>
                                </m:r>
                                <m: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  <m:r>
                                  <a:rPr lang="es-CO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𝐵𝑎𝑠𝑒</m:t>
                                </m:r>
                              </m:den>
                            </m:f>
                          </m:e>
                        </m:d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−1)</m:t>
                        </m:r>
                      </m:e>
                    </m:d>
                    <m:r>
                      <a:rPr lang="es-CO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100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B8A25B29-0CEC-466E-95A0-B619FECC63C9}"/>
                </a:ext>
              </a:extLst>
            </xdr:cNvPr>
            <xdr:cNvSpPr txBox="1"/>
          </xdr:nvSpPr>
          <xdr:spPr>
            <a:xfrm>
              <a:off x="1901793" y="18391663"/>
              <a:ext cx="2298001" cy="38036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%𝐷𝑐𝑡𝑜</a:t>
              </a:r>
              <a:r>
                <a:rPr lang="es-ES" sz="1100" i="0">
                  <a:latin typeface="Cambria Math" panose="02040503050406030204" pitchFamily="18" charset="0"/>
                </a:rPr>
                <a:t>=[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𝑃𝑟𝑒𝑐𝑖𝑜 𝐷𝑐𝑡𝑜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𝑃𝑟𝑒𝑐𝑖𝑜 𝐵𝑎𝑠𝑒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)−1)]</a:t>
              </a:r>
              <a:r>
                <a:rPr lang="es-CO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100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13</xdr:col>
      <xdr:colOff>634968</xdr:colOff>
      <xdr:row>11</xdr:row>
      <xdr:rowOff>173513</xdr:rowOff>
    </xdr:from>
    <xdr:ext cx="2632195" cy="3180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B50562EF-3E8B-41E7-9A2D-6252E8DB4760}"/>
                </a:ext>
              </a:extLst>
            </xdr:cNvPr>
            <xdr:cNvSpPr txBox="1"/>
          </xdr:nvSpPr>
          <xdr:spPr>
            <a:xfrm>
              <a:off x="11293443" y="2269013"/>
              <a:ext cx="2632195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𝑉𝑒𝑛𝑡𝑎𝑠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𝐶𝑜𝑠𝑡𝑜𝑠</m:t>
                        </m:r>
                      </m:num>
                      <m:den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𝑉𝑒𝑛𝑡𝑎𝑠</m:t>
                        </m:r>
                      </m:den>
                    </m:f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100=%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𝑀𝑎𝑟𝑔𝑒𝑛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𝑏𝑟𝑢𝑡𝑜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B50562EF-3E8B-41E7-9A2D-6252E8DB4760}"/>
                </a:ext>
              </a:extLst>
            </xdr:cNvPr>
            <xdr:cNvSpPr txBox="1"/>
          </xdr:nvSpPr>
          <xdr:spPr>
            <a:xfrm>
              <a:off x="11293443" y="2269013"/>
              <a:ext cx="2632195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(𝑉𝑒𝑛𝑡𝑎𝑠−𝐶𝑜𝑠𝑡𝑜𝑠)/𝑉𝑒𝑛𝑡𝑎𝑠 𝑥100=% </a:t>
              </a:r>
              <a:r>
                <a:rPr lang="es-CO" sz="1100" b="0" i="0">
                  <a:latin typeface="Cambria Math" panose="02040503050406030204" pitchFamily="18" charset="0"/>
                </a:rPr>
                <a:t>𝑀𝑎𝑟𝑔𝑒𝑛 𝑏𝑟𝑢𝑡𝑜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14</xdr:col>
      <xdr:colOff>114268</xdr:colOff>
      <xdr:row>22</xdr:row>
      <xdr:rowOff>160813</xdr:rowOff>
    </xdr:from>
    <xdr:ext cx="3068532" cy="35105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D16EE158-D600-4779-97E3-C4D7B02D9C9D}"/>
                </a:ext>
              </a:extLst>
            </xdr:cNvPr>
            <xdr:cNvSpPr txBox="1"/>
          </xdr:nvSpPr>
          <xdr:spPr>
            <a:xfrm>
              <a:off x="11525218" y="4351813"/>
              <a:ext cx="3068532" cy="3510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𝑈𝑡𝑖𝑙𝑖𝑑𝑎𝑑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𝐵𝑟𝑢𝑡𝑎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𝐺𝑎𝑠𝑡𝑜𝑠</m:t>
                        </m:r>
                      </m:num>
                      <m:den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𝐼𝑛𝑔𝑟𝑒𝑠𝑜𝑠</m:t>
                        </m:r>
                      </m:den>
                    </m:f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100=%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𝑀𝑎𝑟𝑔𝑒𝑛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𝑛𝑒𝑡𝑜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D16EE158-D600-4779-97E3-C4D7B02D9C9D}"/>
                </a:ext>
              </a:extLst>
            </xdr:cNvPr>
            <xdr:cNvSpPr txBox="1"/>
          </xdr:nvSpPr>
          <xdr:spPr>
            <a:xfrm>
              <a:off x="11525218" y="4351813"/>
              <a:ext cx="3068532" cy="3510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(𝑈𝑡𝑖𝑙𝑖𝑑𝑎𝑑 𝐵𝑟𝑢𝑡𝑎−𝐺𝑎𝑠𝑡𝑜𝑠)/𝐼𝑛𝑔𝑟𝑒𝑠𝑜𝑠 𝑥100=% </a:t>
              </a:r>
              <a:r>
                <a:rPr lang="es-CO" sz="1100" b="0" i="0">
                  <a:latin typeface="Cambria Math" panose="02040503050406030204" pitchFamily="18" charset="0"/>
                </a:rPr>
                <a:t>𝑀𝑎𝑟𝑔𝑒𝑛 𝑛𝑒𝑡𝑜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14</xdr:col>
      <xdr:colOff>107950</xdr:colOff>
      <xdr:row>36</xdr:row>
      <xdr:rowOff>88900</xdr:rowOff>
    </xdr:from>
    <xdr:ext cx="2468946" cy="3213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3028AA7F-D614-46EE-AF69-4144BC06BF30}"/>
                </a:ext>
              </a:extLst>
            </xdr:cNvPr>
            <xdr:cNvSpPr txBox="1"/>
          </xdr:nvSpPr>
          <xdr:spPr>
            <a:xfrm>
              <a:off x="11518900" y="6946900"/>
              <a:ext cx="2468946" cy="3213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𝑈𝑡𝑖𝑙𝑖𝑑𝑎𝑑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𝐵𝑟𝑢𝑡𝑎</m:t>
                        </m:r>
                      </m:num>
                      <m:den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𝐶𝑜𝑠𝑡𝑜</m:t>
                        </m:r>
                      </m:den>
                    </m:f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100=%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𝑀𝑎𝑟𝑔𝑒𝑛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𝑛𝑒𝑡𝑜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3028AA7F-D614-46EE-AF69-4144BC06BF30}"/>
                </a:ext>
              </a:extLst>
            </xdr:cNvPr>
            <xdr:cNvSpPr txBox="1"/>
          </xdr:nvSpPr>
          <xdr:spPr>
            <a:xfrm>
              <a:off x="11518900" y="6946900"/>
              <a:ext cx="2468946" cy="3213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(𝑈𝑡𝑖𝑙𝑖𝑑𝑎𝑑 𝐵𝑟𝑢𝑡𝑎)/𝐶𝑜𝑠𝑡𝑜 𝑥100=% </a:t>
              </a:r>
              <a:r>
                <a:rPr lang="es-CO" sz="1100" b="0" i="0">
                  <a:latin typeface="Cambria Math" panose="02040503050406030204" pitchFamily="18" charset="0"/>
                </a:rPr>
                <a:t>𝑀𝑎𝑟𝑔𝑒𝑛 𝑛𝑒𝑡𝑜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11</xdr:col>
      <xdr:colOff>393700</xdr:colOff>
      <xdr:row>48</xdr:row>
      <xdr:rowOff>44450</xdr:rowOff>
    </xdr:from>
    <xdr:ext cx="263040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754EFC90-FD85-48F7-9723-313295998DC3}"/>
                </a:ext>
              </a:extLst>
            </xdr:cNvPr>
            <xdr:cNvSpPr txBox="1"/>
          </xdr:nvSpPr>
          <xdr:spPr>
            <a:xfrm>
              <a:off x="8756650" y="9188450"/>
              <a:ext cx="263040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𝐶𝑜𝑠𝑡𝑜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∗(1+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𝑀𝑎𝑟𝑘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𝑈𝑝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)=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𝑃𝑟𝑒𝑐𝑖𝑜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𝑑𝑒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𝑉𝑒𝑛𝑡𝑎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754EFC90-FD85-48F7-9723-313295998DC3}"/>
                </a:ext>
              </a:extLst>
            </xdr:cNvPr>
            <xdr:cNvSpPr txBox="1"/>
          </xdr:nvSpPr>
          <xdr:spPr>
            <a:xfrm>
              <a:off x="8756650" y="9188450"/>
              <a:ext cx="263040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𝐶𝑜𝑠𝑡𝑜∗(1+𝑀𝑎𝑟𝑘 𝑈𝑝)=</a:t>
              </a:r>
              <a:r>
                <a:rPr lang="es-CO" sz="1100" b="0" i="0">
                  <a:latin typeface="Cambria Math" panose="02040503050406030204" pitchFamily="18" charset="0"/>
                </a:rPr>
                <a:t>𝑃𝑟𝑒𝑐𝑖𝑜 𝑑𝑒 𝑉𝑒𝑛𝑡𝑎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13</xdr:col>
      <xdr:colOff>0</xdr:colOff>
      <xdr:row>59</xdr:row>
      <xdr:rowOff>0</xdr:rowOff>
    </xdr:from>
    <xdr:ext cx="384021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F0E3F3E5-1EEA-42A2-8D3C-E01EB858DA1F}"/>
                </a:ext>
              </a:extLst>
            </xdr:cNvPr>
            <xdr:cNvSpPr txBox="1"/>
          </xdr:nvSpPr>
          <xdr:spPr>
            <a:xfrm>
              <a:off x="10658475" y="11239500"/>
              <a:ext cx="384021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𝑃𝑟𝑒𝑐𝑖𝑜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𝑑𝑒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𝑣𝑒𝑛𝑡𝑎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−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𝐶𝑜𝑠𝑡𝑜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𝑣𝑎𝑟𝑖𝑎𝑏𝑙𝑒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𝑀𝑎𝑟𝑔𝑒𝑛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𝑑𝑒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𝑐𝑜𝑛𝑡𝑟𝑖𝑏𝑢𝑐𝑖𝑜𝑛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F0E3F3E5-1EEA-42A2-8D3C-E01EB858DA1F}"/>
                </a:ext>
              </a:extLst>
            </xdr:cNvPr>
            <xdr:cNvSpPr txBox="1"/>
          </xdr:nvSpPr>
          <xdr:spPr>
            <a:xfrm>
              <a:off x="10658475" y="11239500"/>
              <a:ext cx="384021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𝑃𝑟𝑒𝑐𝑖𝑜 𝑑𝑒 𝑣𝑒𝑛𝑡𝑎 −𝐶𝑜𝑠𝑡𝑜 𝑣𝑎𝑟𝑖𝑎𝑏𝑙𝑒</a:t>
              </a:r>
              <a:r>
                <a:rPr lang="es-ES" sz="1100" i="0">
                  <a:latin typeface="Cambria Math" panose="02040503050406030204" pitchFamily="18" charset="0"/>
                </a:rPr>
                <a:t>=</a:t>
              </a:r>
              <a:r>
                <a:rPr lang="es-CO" sz="1100" b="0" i="0">
                  <a:latin typeface="Cambria Math" panose="02040503050406030204" pitchFamily="18" charset="0"/>
                </a:rPr>
                <a:t>𝑀𝑎𝑟𝑔𝑒𝑛 𝑑𝑒 𝑐𝑜𝑛𝑡𝑟𝑖𝑏𝑢𝑐𝑖𝑜𝑛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15</xdr:col>
      <xdr:colOff>730250</xdr:colOff>
      <xdr:row>47</xdr:row>
      <xdr:rowOff>152400</xdr:rowOff>
    </xdr:from>
    <xdr:ext cx="2157194" cy="34804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6685BEB6-972C-4FF8-8759-B7E87E024B9C}"/>
                </a:ext>
              </a:extLst>
            </xdr:cNvPr>
            <xdr:cNvSpPr txBox="1"/>
          </xdr:nvSpPr>
          <xdr:spPr>
            <a:xfrm>
              <a:off x="12903200" y="9105900"/>
              <a:ext cx="2157194" cy="3480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𝐶𝑜𝑠𝑡𝑜</m:t>
                        </m:r>
                      </m:num>
                      <m:den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1−%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𝑀𝑎𝑟𝑔𝑒𝑛</m:t>
                        </m:r>
                      </m:den>
                    </m:f>
                    <m:r>
                      <a:rPr lang="es-ES" sz="110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𝑃𝑟𝑒𝑐𝑖𝑜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𝑑𝑒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𝑉𝑒𝑛𝑡𝑎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6685BEB6-972C-4FF8-8759-B7E87E024B9C}"/>
                </a:ext>
              </a:extLst>
            </xdr:cNvPr>
            <xdr:cNvSpPr txBox="1"/>
          </xdr:nvSpPr>
          <xdr:spPr>
            <a:xfrm>
              <a:off x="12903200" y="9105900"/>
              <a:ext cx="2157194" cy="3480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𝐶𝑜𝑠𝑡𝑜/(1−%𝑀𝑎𝑟𝑔𝑒𝑛)</a:t>
              </a:r>
              <a:r>
                <a:rPr lang="es-ES" sz="1100" i="0">
                  <a:latin typeface="Cambria Math" panose="02040503050406030204" pitchFamily="18" charset="0"/>
                </a:rPr>
                <a:t>=</a:t>
              </a:r>
              <a:r>
                <a:rPr lang="es-CO" sz="1100" b="0" i="0">
                  <a:latin typeface="Cambria Math" panose="02040503050406030204" pitchFamily="18" charset="0"/>
                </a:rPr>
                <a:t>𝑃𝑟𝑒𝑐𝑖𝑜 𝑑𝑒 𝑉𝑒𝑛𝑡𝑎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13</xdr:col>
      <xdr:colOff>228600</xdr:colOff>
      <xdr:row>66</xdr:row>
      <xdr:rowOff>44450</xdr:rowOff>
    </xdr:from>
    <xdr:ext cx="3590470" cy="34990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14697B05-550B-4ACD-BCFD-E67A25C96B05}"/>
                </a:ext>
              </a:extLst>
            </xdr:cNvPr>
            <xdr:cNvSpPr txBox="1"/>
          </xdr:nvSpPr>
          <xdr:spPr>
            <a:xfrm>
              <a:off x="10887075" y="12617450"/>
              <a:ext cx="3590470" cy="3499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𝑀𝑎𝑟𝑔𝑒𝑛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𝑑𝑒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𝑐𝑜𝑛𝑡𝑟𝑖𝑏𝑢𝑐𝑖𝑜𝑛</m:t>
                        </m:r>
                      </m:num>
                      <m:den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𝑝𝑟𝑒𝑐𝑖𝑜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𝑑𝑒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s-CO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𝑣𝑒𝑛𝑡𝑎</m:t>
                        </m:r>
                      </m:den>
                    </m:f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100=%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𝑀𝑎𝑟𝑔𝑒𝑛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𝑐𝑜𝑛𝑡𝑟𝑖𝑏𝑢𝑐𝑖𝑜𝑛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14697B05-550B-4ACD-BCFD-E67A25C96B05}"/>
                </a:ext>
              </a:extLst>
            </xdr:cNvPr>
            <xdr:cNvSpPr txBox="1"/>
          </xdr:nvSpPr>
          <xdr:spPr>
            <a:xfrm>
              <a:off x="10887075" y="12617450"/>
              <a:ext cx="3590470" cy="3499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(𝑀𝑎𝑟𝑔𝑒𝑛 𝑑𝑒 𝑐𝑜𝑛𝑡𝑟𝑖𝑏𝑢𝑐𝑖𝑜𝑛)/(𝑝𝑟𝑒𝑐𝑖𝑜 𝑑𝑒 𝑣𝑒𝑛𝑡𝑎) 𝑥100=% </a:t>
              </a:r>
              <a:r>
                <a:rPr lang="es-CO" sz="1100" b="0" i="0">
                  <a:latin typeface="Cambria Math" panose="02040503050406030204" pitchFamily="18" charset="0"/>
                </a:rPr>
                <a:t>𝑀𝑎𝑟𝑔𝑒𝑛 𝑐𝑜𝑛𝑡𝑟𝑖𝑏𝑢𝑐𝑖𝑜𝑛</a:t>
              </a:r>
              <a:endParaRPr lang="es-ES" sz="1100"/>
            </a:p>
          </xdr:txBody>
        </xdr:sp>
      </mc:Fallback>
    </mc:AlternateContent>
    <xdr:clientData/>
  </xdr:oneCellAnchor>
  <xdr:twoCellAnchor editAs="oneCell">
    <xdr:from>
      <xdr:col>3</xdr:col>
      <xdr:colOff>528204</xdr:colOff>
      <xdr:row>2</xdr:row>
      <xdr:rowOff>8659</xdr:rowOff>
    </xdr:from>
    <xdr:to>
      <xdr:col>5</xdr:col>
      <xdr:colOff>275183</xdr:colOff>
      <xdr:row>4</xdr:row>
      <xdr:rowOff>113373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CC1C0FA-E862-462F-84C4-C06B182A0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95204" y="389659"/>
          <a:ext cx="1413854" cy="485714"/>
        </a:xfrm>
        <a:prstGeom prst="rect">
          <a:avLst/>
        </a:prstGeom>
      </xdr:spPr>
    </xdr:pic>
    <xdr:clientData/>
  </xdr:twoCellAnchor>
  <xdr:twoCellAnchor editAs="oneCell">
    <xdr:from>
      <xdr:col>2</xdr:col>
      <xdr:colOff>562841</xdr:colOff>
      <xdr:row>2</xdr:row>
      <xdr:rowOff>8659</xdr:rowOff>
    </xdr:from>
    <xdr:to>
      <xdr:col>3</xdr:col>
      <xdr:colOff>505603</xdr:colOff>
      <xdr:row>3</xdr:row>
      <xdr:rowOff>189588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900E02D-46D9-4416-9007-AAD018181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67841" y="389659"/>
          <a:ext cx="704762" cy="371429"/>
        </a:xfrm>
        <a:prstGeom prst="rect">
          <a:avLst/>
        </a:prstGeom>
      </xdr:spPr>
    </xdr:pic>
    <xdr:clientData/>
  </xdr:twoCellAnchor>
  <xdr:twoCellAnchor editAs="oneCell">
    <xdr:from>
      <xdr:col>2</xdr:col>
      <xdr:colOff>562840</xdr:colOff>
      <xdr:row>10</xdr:row>
      <xdr:rowOff>155864</xdr:rowOff>
    </xdr:from>
    <xdr:to>
      <xdr:col>5</xdr:col>
      <xdr:colOff>632114</xdr:colOff>
      <xdr:row>14</xdr:row>
      <xdr:rowOff>93883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189D457-F8B3-4339-9C72-629F6A25B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67840" y="2060864"/>
          <a:ext cx="2498149" cy="700019"/>
        </a:xfrm>
        <a:prstGeom prst="rect">
          <a:avLst/>
        </a:prstGeom>
      </xdr:spPr>
    </xdr:pic>
    <xdr:clientData/>
  </xdr:twoCellAnchor>
  <xdr:twoCellAnchor editAs="oneCell">
    <xdr:from>
      <xdr:col>3</xdr:col>
      <xdr:colOff>484909</xdr:colOff>
      <xdr:row>20</xdr:row>
      <xdr:rowOff>155863</xdr:rowOff>
    </xdr:from>
    <xdr:to>
      <xdr:col>4</xdr:col>
      <xdr:colOff>439777</xdr:colOff>
      <xdr:row>23</xdr:row>
      <xdr:rowOff>51030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3FC13B8-A88D-4137-95F4-F3BDC86DA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51909" y="3965863"/>
          <a:ext cx="840693" cy="466667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476250</xdr:colOff>
      <xdr:row>21</xdr:row>
      <xdr:rowOff>69273</xdr:rowOff>
    </xdr:from>
    <xdr:to>
      <xdr:col>5</xdr:col>
      <xdr:colOff>211218</xdr:colOff>
      <xdr:row>23</xdr:row>
      <xdr:rowOff>12083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67D8614-C1A5-4A1D-B7AE-0D091C06C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029075" y="4069773"/>
          <a:ext cx="516018" cy="323810"/>
        </a:xfrm>
        <a:prstGeom prst="rect">
          <a:avLst/>
        </a:prstGeom>
      </xdr:spPr>
    </xdr:pic>
    <xdr:clientData/>
  </xdr:twoCellAnchor>
  <xdr:twoCellAnchor editAs="oneCell">
    <xdr:from>
      <xdr:col>5</xdr:col>
      <xdr:colOff>259773</xdr:colOff>
      <xdr:row>21</xdr:row>
      <xdr:rowOff>86591</xdr:rowOff>
    </xdr:from>
    <xdr:to>
      <xdr:col>7</xdr:col>
      <xdr:colOff>21487</xdr:colOff>
      <xdr:row>22</xdr:row>
      <xdr:rowOff>172281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CE96280-9A1B-448E-AE7D-B616F6A6F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593648" y="4087091"/>
          <a:ext cx="1285714" cy="276190"/>
        </a:xfrm>
        <a:prstGeom prst="rect">
          <a:avLst/>
        </a:prstGeom>
      </xdr:spPr>
    </xdr:pic>
    <xdr:clientData/>
  </xdr:twoCellAnchor>
  <xdr:twoCellAnchor editAs="oneCell">
    <xdr:from>
      <xdr:col>3</xdr:col>
      <xdr:colOff>467591</xdr:colOff>
      <xdr:row>23</xdr:row>
      <xdr:rowOff>17318</xdr:rowOff>
    </xdr:from>
    <xdr:to>
      <xdr:col>4</xdr:col>
      <xdr:colOff>422459</xdr:colOff>
      <xdr:row>25</xdr:row>
      <xdr:rowOff>102985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37FAA26-4F16-4DDE-988C-03670D11F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34591" y="4398818"/>
          <a:ext cx="840693" cy="466667"/>
        </a:xfrm>
        <a:prstGeom prst="rect">
          <a:avLst/>
        </a:prstGeom>
      </xdr:spPr>
    </xdr:pic>
    <xdr:clientData/>
  </xdr:twoCellAnchor>
  <xdr:twoCellAnchor editAs="oneCell">
    <xdr:from>
      <xdr:col>4</xdr:col>
      <xdr:colOff>559377</xdr:colOff>
      <xdr:row>23</xdr:row>
      <xdr:rowOff>117764</xdr:rowOff>
    </xdr:from>
    <xdr:to>
      <xdr:col>5</xdr:col>
      <xdr:colOff>294345</xdr:colOff>
      <xdr:row>25</xdr:row>
      <xdr:rowOff>60574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F872F1E-0903-4B5E-A749-9AE989125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12202" y="4499264"/>
          <a:ext cx="516018" cy="32381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285751</xdr:colOff>
      <xdr:row>23</xdr:row>
      <xdr:rowOff>147205</xdr:rowOff>
    </xdr:from>
    <xdr:to>
      <xdr:col>6</xdr:col>
      <xdr:colOff>311729</xdr:colOff>
      <xdr:row>25</xdr:row>
      <xdr:rowOff>51955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60A0B09-789A-4E94-B9B1-889852481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619626" y="4528705"/>
          <a:ext cx="787978" cy="285750"/>
        </a:xfrm>
        <a:prstGeom prst="rect">
          <a:avLst/>
        </a:prstGeom>
      </xdr:spPr>
    </xdr:pic>
    <xdr:clientData/>
  </xdr:twoCellAnchor>
  <xdr:twoCellAnchor editAs="oneCell">
    <xdr:from>
      <xdr:col>6</xdr:col>
      <xdr:colOff>320386</xdr:colOff>
      <xdr:row>23</xdr:row>
      <xdr:rowOff>173182</xdr:rowOff>
    </xdr:from>
    <xdr:to>
      <xdr:col>7</xdr:col>
      <xdr:colOff>476250</xdr:colOff>
      <xdr:row>25</xdr:row>
      <xdr:rowOff>115620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BC740F5-CFF0-453B-B618-27CAC932C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16261" y="4554682"/>
          <a:ext cx="917864" cy="3234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2</xdr:row>
      <xdr:rowOff>23810</xdr:rowOff>
    </xdr:from>
    <xdr:to>
      <xdr:col>13</xdr:col>
      <xdr:colOff>447675</xdr:colOff>
      <xdr:row>16</xdr:row>
      <xdr:rowOff>152399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B0B75F88-35D6-E35E-529D-D45B0A9AC9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6</xdr:col>
      <xdr:colOff>47626</xdr:colOff>
      <xdr:row>19</xdr:row>
      <xdr:rowOff>66675</xdr:rowOff>
    </xdr:from>
    <xdr:to>
      <xdr:col>6</xdr:col>
      <xdr:colOff>590706</xdr:colOff>
      <xdr:row>23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56CF7A8-2598-930C-0A0F-77425F88E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19626" y="3514725"/>
          <a:ext cx="543080" cy="742950"/>
        </a:xfrm>
        <a:prstGeom prst="rect">
          <a:avLst/>
        </a:prstGeom>
      </xdr:spPr>
    </xdr:pic>
    <xdr:clientData/>
  </xdr:twoCellAnchor>
  <xdr:twoCellAnchor editAs="oneCell">
    <xdr:from>
      <xdr:col>5</xdr:col>
      <xdr:colOff>581025</xdr:colOff>
      <xdr:row>25</xdr:row>
      <xdr:rowOff>114300</xdr:rowOff>
    </xdr:from>
    <xdr:to>
      <xdr:col>6</xdr:col>
      <xdr:colOff>676275</xdr:colOff>
      <xdr:row>28</xdr:row>
      <xdr:rowOff>164193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2571EE7-7911-CCB8-68BD-4A11DEB7F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91025" y="4705350"/>
          <a:ext cx="857250" cy="621393"/>
        </a:xfrm>
        <a:prstGeom prst="rect">
          <a:avLst/>
        </a:prstGeom>
      </xdr:spPr>
    </xdr:pic>
    <xdr:clientData/>
  </xdr:twoCellAnchor>
  <xdr:twoCellAnchor>
    <xdr:from>
      <xdr:col>6</xdr:col>
      <xdr:colOff>295275</xdr:colOff>
      <xdr:row>23</xdr:row>
      <xdr:rowOff>114300</xdr:rowOff>
    </xdr:from>
    <xdr:to>
      <xdr:col>6</xdr:col>
      <xdr:colOff>295275</xdr:colOff>
      <xdr:row>24</xdr:row>
      <xdr:rowOff>180975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88D0DF5D-56AE-D94C-F361-01F38A77889A}"/>
            </a:ext>
          </a:extLst>
        </xdr:cNvPr>
        <xdr:cNvCxnSpPr/>
      </xdr:nvCxnSpPr>
      <xdr:spPr>
        <a:xfrm>
          <a:off x="4867275" y="4324350"/>
          <a:ext cx="0" cy="257175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723900</xdr:colOff>
      <xdr:row>29</xdr:row>
      <xdr:rowOff>38100</xdr:rowOff>
    </xdr:from>
    <xdr:to>
      <xdr:col>5</xdr:col>
      <xdr:colOff>409575</xdr:colOff>
      <xdr:row>31</xdr:row>
      <xdr:rowOff>66675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25F77B3D-118D-43C8-A8F1-628804D33BAA}"/>
            </a:ext>
          </a:extLst>
        </xdr:cNvPr>
        <xdr:cNvCxnSpPr/>
      </xdr:nvCxnSpPr>
      <xdr:spPr>
        <a:xfrm flipH="1">
          <a:off x="3771900" y="5391150"/>
          <a:ext cx="447675" cy="409575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85725</xdr:colOff>
      <xdr:row>28</xdr:row>
      <xdr:rowOff>180975</xdr:rowOff>
    </xdr:from>
    <xdr:to>
      <xdr:col>7</xdr:col>
      <xdr:colOff>533400</xdr:colOff>
      <xdr:row>30</xdr:row>
      <xdr:rowOff>180975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27BBE714-DC1F-4BD9-9A5D-9AF2140C49C0}"/>
            </a:ext>
          </a:extLst>
        </xdr:cNvPr>
        <xdr:cNvCxnSpPr/>
      </xdr:nvCxnSpPr>
      <xdr:spPr>
        <a:xfrm>
          <a:off x="5419725" y="5343525"/>
          <a:ext cx="447675" cy="381000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752476</xdr:colOff>
      <xdr:row>31</xdr:row>
      <xdr:rowOff>85725</xdr:rowOff>
    </xdr:from>
    <xdr:to>
      <xdr:col>2</xdr:col>
      <xdr:colOff>561976</xdr:colOff>
      <xdr:row>35</xdr:row>
      <xdr:rowOff>19051</xdr:rowOff>
    </xdr:to>
    <xdr:sp macro="" textlink="">
      <xdr:nvSpPr>
        <xdr:cNvPr id="14" name="Elipse 13">
          <a:extLst>
            <a:ext uri="{FF2B5EF4-FFF2-40B4-BE49-F238E27FC236}">
              <a16:creationId xmlns:a16="http://schemas.microsoft.com/office/drawing/2014/main" id="{063F2A9A-4F25-5103-9F28-71289AE490C3}"/>
            </a:ext>
          </a:extLst>
        </xdr:cNvPr>
        <xdr:cNvSpPr/>
      </xdr:nvSpPr>
      <xdr:spPr>
        <a:xfrm>
          <a:off x="752476" y="5819775"/>
          <a:ext cx="1333500" cy="695326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/>
            <a:t>Ganancia</a:t>
          </a:r>
          <a:r>
            <a:rPr lang="es-CO" sz="1100" baseline="0"/>
            <a:t> 18%</a:t>
          </a:r>
          <a:endParaRPr lang="es-CO" sz="1100"/>
        </a:p>
      </xdr:txBody>
    </xdr:sp>
    <xdr:clientData/>
  </xdr:twoCellAnchor>
  <xdr:twoCellAnchor>
    <xdr:from>
      <xdr:col>3</xdr:col>
      <xdr:colOff>219075</xdr:colOff>
      <xdr:row>33</xdr:row>
      <xdr:rowOff>152400</xdr:rowOff>
    </xdr:from>
    <xdr:to>
      <xdr:col>3</xdr:col>
      <xdr:colOff>666750</xdr:colOff>
      <xdr:row>35</xdr:row>
      <xdr:rowOff>180975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C861311B-6A4B-4B02-AA04-D12EA5D9EB6A}"/>
            </a:ext>
          </a:extLst>
        </xdr:cNvPr>
        <xdr:cNvCxnSpPr/>
      </xdr:nvCxnSpPr>
      <xdr:spPr>
        <a:xfrm flipH="1">
          <a:off x="2505075" y="6267450"/>
          <a:ext cx="447675" cy="409575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133350</xdr:colOff>
      <xdr:row>33</xdr:row>
      <xdr:rowOff>95250</xdr:rowOff>
    </xdr:from>
    <xdr:to>
      <xdr:col>5</xdr:col>
      <xdr:colOff>581025</xdr:colOff>
      <xdr:row>35</xdr:row>
      <xdr:rowOff>95250</xdr:rowOff>
    </xdr:to>
    <xdr:cxnSp macro="">
      <xdr:nvCxnSpPr>
        <xdr:cNvPr id="16" name="Conector recto de flecha 15">
          <a:extLst>
            <a:ext uri="{FF2B5EF4-FFF2-40B4-BE49-F238E27FC236}">
              <a16:creationId xmlns:a16="http://schemas.microsoft.com/office/drawing/2014/main" id="{B844FDEF-E4E3-4B96-9468-55008EF74BC8}"/>
            </a:ext>
          </a:extLst>
        </xdr:cNvPr>
        <xdr:cNvCxnSpPr/>
      </xdr:nvCxnSpPr>
      <xdr:spPr>
        <a:xfrm>
          <a:off x="3943350" y="6210300"/>
          <a:ext cx="447675" cy="381000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39</xdr:row>
      <xdr:rowOff>133350</xdr:rowOff>
    </xdr:from>
    <xdr:to>
      <xdr:col>4</xdr:col>
      <xdr:colOff>400050</xdr:colOff>
      <xdr:row>41</xdr:row>
      <xdr:rowOff>180975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80F9D6A9-C986-4902-9DFC-3CDCD08EB70C}"/>
            </a:ext>
          </a:extLst>
        </xdr:cNvPr>
        <xdr:cNvCxnSpPr/>
      </xdr:nvCxnSpPr>
      <xdr:spPr>
        <a:xfrm>
          <a:off x="3438525" y="7391400"/>
          <a:ext cx="9525" cy="428625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523373</xdr:colOff>
      <xdr:row>42</xdr:row>
      <xdr:rowOff>76200</xdr:rowOff>
    </xdr:from>
    <xdr:to>
      <xdr:col>5</xdr:col>
      <xdr:colOff>228214</xdr:colOff>
      <xdr:row>51</xdr:row>
      <xdr:rowOff>28054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AD5929D-D9D8-AEF4-C1C6-256CB4F0D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09373" y="7905750"/>
          <a:ext cx="1228841" cy="1666354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52</xdr:row>
      <xdr:rowOff>28575</xdr:rowOff>
    </xdr:from>
    <xdr:to>
      <xdr:col>4</xdr:col>
      <xdr:colOff>57150</xdr:colOff>
      <xdr:row>54</xdr:row>
      <xdr:rowOff>57150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B9D5940A-0828-4AB7-B4A5-F6AB1957A9FE}"/>
            </a:ext>
          </a:extLst>
        </xdr:cNvPr>
        <xdr:cNvCxnSpPr/>
      </xdr:nvCxnSpPr>
      <xdr:spPr>
        <a:xfrm flipH="1">
          <a:off x="2657475" y="9763125"/>
          <a:ext cx="447675" cy="409575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52</xdr:row>
      <xdr:rowOff>38100</xdr:rowOff>
    </xdr:from>
    <xdr:to>
      <xdr:col>5</xdr:col>
      <xdr:colOff>323850</xdr:colOff>
      <xdr:row>54</xdr:row>
      <xdr:rowOff>38100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58191CA6-EC22-45D7-9932-EC58EE5C2DAA}"/>
            </a:ext>
          </a:extLst>
        </xdr:cNvPr>
        <xdr:cNvCxnSpPr/>
      </xdr:nvCxnSpPr>
      <xdr:spPr>
        <a:xfrm>
          <a:off x="3686175" y="9772650"/>
          <a:ext cx="447675" cy="381000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752475</xdr:colOff>
      <xdr:row>33</xdr:row>
      <xdr:rowOff>123825</xdr:rowOff>
    </xdr:from>
    <xdr:to>
      <xdr:col>9</xdr:col>
      <xdr:colOff>190500</xdr:colOff>
      <xdr:row>37</xdr:row>
      <xdr:rowOff>20812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221BA35-BBC0-326C-BBAC-A76646D34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86475" y="6562725"/>
          <a:ext cx="962025" cy="658987"/>
        </a:xfrm>
        <a:prstGeom prst="rect">
          <a:avLst/>
        </a:prstGeom>
      </xdr:spPr>
    </xdr:pic>
    <xdr:clientData/>
  </xdr:twoCellAnchor>
  <xdr:twoCellAnchor>
    <xdr:from>
      <xdr:col>11</xdr:col>
      <xdr:colOff>9525</xdr:colOff>
      <xdr:row>30</xdr:row>
      <xdr:rowOff>171450</xdr:rowOff>
    </xdr:from>
    <xdr:to>
      <xdr:col>12</xdr:col>
      <xdr:colOff>581025</xdr:colOff>
      <xdr:row>34</xdr:row>
      <xdr:rowOff>104776</xdr:rowOff>
    </xdr:to>
    <xdr:sp macro="" textlink="">
      <xdr:nvSpPr>
        <xdr:cNvPr id="25" name="Elipse 24">
          <a:extLst>
            <a:ext uri="{FF2B5EF4-FFF2-40B4-BE49-F238E27FC236}">
              <a16:creationId xmlns:a16="http://schemas.microsoft.com/office/drawing/2014/main" id="{9CDEF215-2091-4628-8B84-70346C3FF339}"/>
            </a:ext>
          </a:extLst>
        </xdr:cNvPr>
        <xdr:cNvSpPr/>
      </xdr:nvSpPr>
      <xdr:spPr>
        <a:xfrm>
          <a:off x="8391525" y="5715000"/>
          <a:ext cx="1333500" cy="695326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/>
            <a:t>Merma</a:t>
          </a:r>
        </a:p>
        <a:p>
          <a:pPr algn="ctr"/>
          <a:r>
            <a:rPr lang="es-CO" sz="1100"/>
            <a:t>5%</a:t>
          </a:r>
        </a:p>
      </xdr:txBody>
    </xdr:sp>
    <xdr:clientData/>
  </xdr:twoCellAnchor>
  <xdr:twoCellAnchor>
    <xdr:from>
      <xdr:col>6</xdr:col>
      <xdr:colOff>66675</xdr:colOff>
      <xdr:row>31</xdr:row>
      <xdr:rowOff>47625</xdr:rowOff>
    </xdr:from>
    <xdr:to>
      <xdr:col>7</xdr:col>
      <xdr:colOff>638175</xdr:colOff>
      <xdr:row>34</xdr:row>
      <xdr:rowOff>171451</xdr:rowOff>
    </xdr:to>
    <xdr:sp macro="" textlink="">
      <xdr:nvSpPr>
        <xdr:cNvPr id="26" name="Elipse 25">
          <a:extLst>
            <a:ext uri="{FF2B5EF4-FFF2-40B4-BE49-F238E27FC236}">
              <a16:creationId xmlns:a16="http://schemas.microsoft.com/office/drawing/2014/main" id="{11C17945-0E09-4219-94CA-5A9E04208BCE}"/>
            </a:ext>
          </a:extLst>
        </xdr:cNvPr>
        <xdr:cNvSpPr/>
      </xdr:nvSpPr>
      <xdr:spPr>
        <a:xfrm>
          <a:off x="4638675" y="5781675"/>
          <a:ext cx="1333500" cy="695326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/>
            <a:t>Ganancia</a:t>
          </a:r>
        </a:p>
        <a:p>
          <a:pPr algn="ctr"/>
          <a:r>
            <a:rPr lang="es-CO" sz="1100"/>
            <a:t>23</a:t>
          </a:r>
          <a:r>
            <a:rPr lang="es-CO" sz="1100" baseline="0"/>
            <a:t> </a:t>
          </a:r>
          <a:r>
            <a:rPr lang="es-CO" sz="1100"/>
            <a:t>%</a:t>
          </a:r>
        </a:p>
      </xdr:txBody>
    </xdr:sp>
    <xdr:clientData/>
  </xdr:twoCellAnchor>
  <xdr:twoCellAnchor editAs="oneCell">
    <xdr:from>
      <xdr:col>9</xdr:col>
      <xdr:colOff>685800</xdr:colOff>
      <xdr:row>39</xdr:row>
      <xdr:rowOff>47626</xdr:rowOff>
    </xdr:from>
    <xdr:to>
      <xdr:col>10</xdr:col>
      <xdr:colOff>742950</xdr:colOff>
      <xdr:row>42</xdr:row>
      <xdr:rowOff>37244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F422D52-5E6C-4190-B7D5-668584FB0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543800" y="7305676"/>
          <a:ext cx="819150" cy="561118"/>
        </a:xfrm>
        <a:prstGeom prst="rect">
          <a:avLst/>
        </a:prstGeom>
      </xdr:spPr>
    </xdr:pic>
    <xdr:clientData/>
  </xdr:twoCellAnchor>
  <xdr:twoCellAnchor editAs="oneCell">
    <xdr:from>
      <xdr:col>6</xdr:col>
      <xdr:colOff>590550</xdr:colOff>
      <xdr:row>39</xdr:row>
      <xdr:rowOff>19051</xdr:rowOff>
    </xdr:from>
    <xdr:to>
      <xdr:col>7</xdr:col>
      <xdr:colOff>647700</xdr:colOff>
      <xdr:row>42</xdr:row>
      <xdr:rowOff>8669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B71B31C-1855-4FCE-97B0-EFC43E0F3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277101"/>
          <a:ext cx="819150" cy="561118"/>
        </a:xfrm>
        <a:prstGeom prst="rect">
          <a:avLst/>
        </a:prstGeom>
      </xdr:spPr>
    </xdr:pic>
    <xdr:clientData/>
  </xdr:twoCellAnchor>
  <xdr:twoCellAnchor>
    <xdr:from>
      <xdr:col>7</xdr:col>
      <xdr:colOff>666750</xdr:colOff>
      <xdr:row>38</xdr:row>
      <xdr:rowOff>28575</xdr:rowOff>
    </xdr:from>
    <xdr:to>
      <xdr:col>8</xdr:col>
      <xdr:colOff>142875</xdr:colOff>
      <xdr:row>39</xdr:row>
      <xdr:rowOff>85725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78F18963-3F09-45AE-A51F-E18D4FE2D119}"/>
            </a:ext>
          </a:extLst>
        </xdr:cNvPr>
        <xdr:cNvCxnSpPr/>
      </xdr:nvCxnSpPr>
      <xdr:spPr>
        <a:xfrm flipH="1">
          <a:off x="6000750" y="7096125"/>
          <a:ext cx="238125" cy="247650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428625</xdr:colOff>
      <xdr:row>38</xdr:row>
      <xdr:rowOff>0</xdr:rowOff>
    </xdr:from>
    <xdr:to>
      <xdr:col>9</xdr:col>
      <xdr:colOff>638175</xdr:colOff>
      <xdr:row>39</xdr:row>
      <xdr:rowOff>47625</xdr:rowOff>
    </xdr:to>
    <xdr:cxnSp macro="">
      <xdr:nvCxnSpPr>
        <xdr:cNvPr id="31" name="Conector recto de flecha 30">
          <a:extLst>
            <a:ext uri="{FF2B5EF4-FFF2-40B4-BE49-F238E27FC236}">
              <a16:creationId xmlns:a16="http://schemas.microsoft.com/office/drawing/2014/main" id="{C984BA6B-4217-40DE-9348-E4A35B75571A}"/>
            </a:ext>
          </a:extLst>
        </xdr:cNvPr>
        <xdr:cNvCxnSpPr/>
      </xdr:nvCxnSpPr>
      <xdr:spPr>
        <a:xfrm>
          <a:off x="7286625" y="7067550"/>
          <a:ext cx="209550" cy="238125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130968</xdr:colOff>
      <xdr:row>0</xdr:row>
      <xdr:rowOff>178593</xdr:rowOff>
    </xdr:from>
    <xdr:to>
      <xdr:col>2</xdr:col>
      <xdr:colOff>194354</xdr:colOff>
      <xdr:row>2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D29E26-6257-7B45-AAF9-5F1F0F6BC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531" y="178593"/>
          <a:ext cx="1896948" cy="4167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166685</xdr:colOff>
      <xdr:row>1</xdr:row>
      <xdr:rowOff>4761</xdr:rowOff>
    </xdr:from>
    <xdr:to>
      <xdr:col>14</xdr:col>
      <xdr:colOff>571500</xdr:colOff>
      <xdr:row>21</xdr:row>
      <xdr:rowOff>104775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65CBF9E-F09B-ED39-9493-1E74E5687A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bee3d28d7cf86aff/Escritorio/Doc%20Vivi/Maestria/Trabajo%20Aplicativo/Documentos%20Finales/Corto%20(1).xlsx" TargetMode="External"/><Relationship Id="rId1" Type="http://schemas.openxmlformats.org/officeDocument/2006/relationships/externalLinkPath" Target="Documentos%20Finales/Cort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cios por costeo"/>
      <sheetName val="condiciones"/>
      <sheetName val="Corto (1)"/>
    </sheetNames>
    <sheetDataSet>
      <sheetData sheetId="0" refreshError="1"/>
      <sheetData sheetId="1">
        <row r="3">
          <cell r="G3">
            <v>0.05</v>
          </cell>
        </row>
        <row r="4">
          <cell r="G4">
            <v>0.1</v>
          </cell>
        </row>
        <row r="5">
          <cell r="G5">
            <v>0.15</v>
          </cell>
        </row>
        <row r="6">
          <cell r="G6">
            <v>0.2</v>
          </cell>
        </row>
        <row r="7">
          <cell r="G7">
            <v>0.25</v>
          </cell>
        </row>
        <row r="8">
          <cell r="G8">
            <v>0.3</v>
          </cell>
        </row>
        <row r="9">
          <cell r="G9">
            <v>0.35</v>
          </cell>
        </row>
        <row r="10">
          <cell r="G10">
            <v>0.4</v>
          </cell>
        </row>
        <row r="11">
          <cell r="G11">
            <v>0.45</v>
          </cell>
        </row>
        <row r="12">
          <cell r="G12">
            <v>0.5</v>
          </cell>
        </row>
      </sheetData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7734-2538-4242-AE75-2187BEA1D5FE}">
  <dimension ref="B2:O40"/>
  <sheetViews>
    <sheetView showGridLines="0" tabSelected="1" workbookViewId="0">
      <selection activeCell="E16" sqref="E16"/>
    </sheetView>
  </sheetViews>
  <sheetFormatPr baseColWidth="10" defaultColWidth="11.42578125" defaultRowHeight="15" x14ac:dyDescent="0.25"/>
  <cols>
    <col min="2" max="2" width="11.42578125" style="85"/>
    <col min="3" max="3" width="20.7109375" style="85" bestFit="1" customWidth="1"/>
    <col min="14" max="14" width="12.7109375" bestFit="1" customWidth="1"/>
  </cols>
  <sheetData>
    <row r="2" spans="2:15" x14ac:dyDescent="0.25">
      <c r="B2" s="87" t="s">
        <v>222</v>
      </c>
      <c r="C2" s="87" t="s">
        <v>221</v>
      </c>
      <c r="O2" s="86"/>
    </row>
    <row r="3" spans="2:15" x14ac:dyDescent="0.25">
      <c r="N3" s="67"/>
    </row>
    <row r="4" spans="2:15" x14ac:dyDescent="0.25">
      <c r="B4" s="85">
        <v>1</v>
      </c>
      <c r="C4" s="85" t="s">
        <v>220</v>
      </c>
      <c r="D4" t="s">
        <v>219</v>
      </c>
      <c r="N4" s="84"/>
    </row>
    <row r="6" spans="2:15" x14ac:dyDescent="0.25">
      <c r="B6" s="85">
        <f>+B4+1</f>
        <v>2</v>
      </c>
      <c r="C6" s="85" t="s">
        <v>218</v>
      </c>
      <c r="D6" t="s">
        <v>217</v>
      </c>
    </row>
    <row r="8" spans="2:15" x14ac:dyDescent="0.25">
      <c r="B8" s="85">
        <f>+B6+1</f>
        <v>3</v>
      </c>
      <c r="C8" s="85" t="s">
        <v>216</v>
      </c>
      <c r="D8" t="s">
        <v>215</v>
      </c>
    </row>
    <row r="10" spans="2:15" x14ac:dyDescent="0.25">
      <c r="B10" s="85">
        <f>+B8+1</f>
        <v>4</v>
      </c>
      <c r="C10" s="85" t="s">
        <v>214</v>
      </c>
      <c r="D10" t="s">
        <v>213</v>
      </c>
    </row>
    <row r="12" spans="2:15" x14ac:dyDescent="0.25">
      <c r="B12" s="85">
        <f>+B10+1</f>
        <v>5</v>
      </c>
      <c r="C12" s="85" t="s">
        <v>212</v>
      </c>
      <c r="D12" t="s">
        <v>211</v>
      </c>
    </row>
    <row r="14" spans="2:15" x14ac:dyDescent="0.25">
      <c r="B14" s="85">
        <f>+B12+1</f>
        <v>6</v>
      </c>
      <c r="C14" s="85" t="s">
        <v>210</v>
      </c>
      <c r="D14" t="s">
        <v>209</v>
      </c>
    </row>
    <row r="16" spans="2:15" x14ac:dyDescent="0.25">
      <c r="B16" s="85">
        <f>+B14+1</f>
        <v>7</v>
      </c>
      <c r="C16" s="85" t="s">
        <v>208</v>
      </c>
      <c r="D16" t="s">
        <v>207</v>
      </c>
    </row>
    <row r="18" spans="2:4" x14ac:dyDescent="0.25">
      <c r="B18" s="85">
        <f>+B16+1</f>
        <v>8</v>
      </c>
      <c r="C18" s="85" t="s">
        <v>206</v>
      </c>
      <c r="D18" t="s">
        <v>205</v>
      </c>
    </row>
    <row r="20" spans="2:4" x14ac:dyDescent="0.25">
      <c r="B20" s="85">
        <f>+B18+1</f>
        <v>9</v>
      </c>
      <c r="C20" s="85" t="s">
        <v>204</v>
      </c>
      <c r="D20" t="s">
        <v>203</v>
      </c>
    </row>
    <row r="22" spans="2:4" x14ac:dyDescent="0.25">
      <c r="B22" s="85">
        <f>+B20+1</f>
        <v>10</v>
      </c>
      <c r="C22" s="85" t="s">
        <v>202</v>
      </c>
      <c r="D22" t="s">
        <v>201</v>
      </c>
    </row>
    <row r="24" spans="2:4" x14ac:dyDescent="0.25">
      <c r="B24" s="85">
        <f>+B22+1</f>
        <v>11</v>
      </c>
      <c r="C24" s="85" t="s">
        <v>200</v>
      </c>
      <c r="D24" t="s">
        <v>199</v>
      </c>
    </row>
    <row r="26" spans="2:4" x14ac:dyDescent="0.25">
      <c r="B26" s="85">
        <f>+B24+1</f>
        <v>12</v>
      </c>
      <c r="C26" s="85" t="s">
        <v>79</v>
      </c>
      <c r="D26" t="s">
        <v>198</v>
      </c>
    </row>
    <row r="28" spans="2:4" x14ac:dyDescent="0.25">
      <c r="B28" s="85">
        <f>+B26+1</f>
        <v>13</v>
      </c>
      <c r="C28" s="85" t="s">
        <v>197</v>
      </c>
      <c r="D28" t="s">
        <v>196</v>
      </c>
    </row>
    <row r="30" spans="2:4" x14ac:dyDescent="0.25">
      <c r="B30" s="85">
        <f>+B28+1</f>
        <v>14</v>
      </c>
      <c r="C30" s="85" t="s">
        <v>195</v>
      </c>
      <c r="D30" t="s">
        <v>194</v>
      </c>
    </row>
    <row r="32" spans="2:4" x14ac:dyDescent="0.25">
      <c r="B32" s="85">
        <f>+B30+1</f>
        <v>15</v>
      </c>
      <c r="C32" s="85" t="s">
        <v>193</v>
      </c>
      <c r="D32" t="s">
        <v>192</v>
      </c>
    </row>
    <row r="34" spans="2:4" x14ac:dyDescent="0.25">
      <c r="B34" s="85">
        <f>+B32+1</f>
        <v>16</v>
      </c>
      <c r="C34" s="85" t="s">
        <v>191</v>
      </c>
      <c r="D34" t="s">
        <v>190</v>
      </c>
    </row>
    <row r="36" spans="2:4" x14ac:dyDescent="0.25">
      <c r="B36" s="85">
        <f>+B34+1</f>
        <v>17</v>
      </c>
      <c r="C36" s="85" t="s">
        <v>189</v>
      </c>
      <c r="D36" t="s">
        <v>188</v>
      </c>
    </row>
    <row r="38" spans="2:4" x14ac:dyDescent="0.25">
      <c r="B38" s="85">
        <f>+B36+1</f>
        <v>18</v>
      </c>
      <c r="C38" s="85" t="s">
        <v>187</v>
      </c>
      <c r="D38" t="s">
        <v>186</v>
      </c>
    </row>
    <row r="40" spans="2:4" x14ac:dyDescent="0.25">
      <c r="B40" s="85">
        <v>19</v>
      </c>
      <c r="C40" s="85" t="s">
        <v>185</v>
      </c>
    </row>
  </sheetData>
  <sheetProtection algorithmName="SHA-512" hashValue="+SC9pP7MnhYr6UwQabI4svputfVbyWKA4MuPCfOCp6sx8+Qi7dHJTzfXZSEEXNN3oOg2zDg7SwljR+42QmXIgg==" saltValue="5kNiENLRplbfZQRXjB6zGw==" spinCount="100000" sheet="1" objects="1" scenarios="1"/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B9C0-A232-4EBA-B4D4-173BB10A040D}">
  <dimension ref="A2:C28"/>
  <sheetViews>
    <sheetView showGridLines="0" workbookViewId="0">
      <selection activeCell="N33" sqref="N33"/>
    </sheetView>
  </sheetViews>
  <sheetFormatPr baseColWidth="10" defaultRowHeight="15" x14ac:dyDescent="0.25"/>
  <cols>
    <col min="1" max="1" width="34.28515625" bestFit="1" customWidth="1"/>
    <col min="2" max="2" width="20.42578125" bestFit="1" customWidth="1"/>
    <col min="3" max="3" width="19.5703125" bestFit="1" customWidth="1"/>
  </cols>
  <sheetData>
    <row r="2" spans="1:3" x14ac:dyDescent="0.25">
      <c r="A2" s="110" t="s">
        <v>64</v>
      </c>
      <c r="B2" s="110" t="s">
        <v>342</v>
      </c>
      <c r="C2" s="110" t="s">
        <v>343</v>
      </c>
    </row>
    <row r="3" spans="1:3" x14ac:dyDescent="0.25">
      <c r="A3" t="s">
        <v>344</v>
      </c>
      <c r="B3" s="52">
        <v>2</v>
      </c>
      <c r="C3" s="52">
        <v>4</v>
      </c>
    </row>
    <row r="4" spans="1:3" x14ac:dyDescent="0.25">
      <c r="A4" t="s">
        <v>345</v>
      </c>
      <c r="B4" s="52">
        <v>3</v>
      </c>
      <c r="C4" s="52">
        <v>3</v>
      </c>
    </row>
    <row r="5" spans="1:3" x14ac:dyDescent="0.25">
      <c r="A5" t="s">
        <v>346</v>
      </c>
      <c r="B5" s="52">
        <v>1</v>
      </c>
      <c r="C5" s="52">
        <v>1</v>
      </c>
    </row>
    <row r="6" spans="1:3" x14ac:dyDescent="0.25">
      <c r="A6" t="s">
        <v>347</v>
      </c>
      <c r="B6" s="52">
        <v>4.5</v>
      </c>
      <c r="C6" s="52">
        <v>4.5</v>
      </c>
    </row>
    <row r="7" spans="1:3" x14ac:dyDescent="0.25">
      <c r="A7" t="s">
        <v>348</v>
      </c>
      <c r="B7" s="52">
        <v>2.5</v>
      </c>
      <c r="C7" s="52">
        <v>2.5</v>
      </c>
    </row>
    <row r="8" spans="1:3" x14ac:dyDescent="0.25">
      <c r="A8" t="s">
        <v>349</v>
      </c>
      <c r="B8" s="52">
        <v>3</v>
      </c>
      <c r="C8" s="52">
        <v>3</v>
      </c>
    </row>
    <row r="9" spans="1:3" x14ac:dyDescent="0.25">
      <c r="A9" t="s">
        <v>350</v>
      </c>
      <c r="B9" s="52">
        <v>4</v>
      </c>
      <c r="C9" s="52">
        <v>3.5</v>
      </c>
    </row>
    <row r="10" spans="1:3" x14ac:dyDescent="0.25">
      <c r="A10" t="s">
        <v>351</v>
      </c>
      <c r="B10" s="52">
        <v>1.5</v>
      </c>
      <c r="C10" s="52">
        <v>1.5</v>
      </c>
    </row>
    <row r="11" spans="1:3" x14ac:dyDescent="0.25">
      <c r="A11" t="s">
        <v>352</v>
      </c>
      <c r="B11" s="52">
        <v>2.5</v>
      </c>
      <c r="C11" s="52">
        <v>2.5</v>
      </c>
    </row>
    <row r="24" spans="1:1" x14ac:dyDescent="0.25">
      <c r="A24" s="110" t="s">
        <v>356</v>
      </c>
    </row>
    <row r="25" spans="1:1" x14ac:dyDescent="0.25">
      <c r="A25" s="119" t="s">
        <v>353</v>
      </c>
    </row>
    <row r="26" spans="1:1" hidden="1" x14ac:dyDescent="0.25">
      <c r="A26" s="120"/>
    </row>
    <row r="27" spans="1:1" x14ac:dyDescent="0.25">
      <c r="A27" s="119" t="s">
        <v>354</v>
      </c>
    </row>
    <row r="28" spans="1:1" x14ac:dyDescent="0.25">
      <c r="A28" s="119" t="s">
        <v>355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CCEA2-EF7A-4A49-AE42-19B379B923C2}">
  <dimension ref="A1:E11"/>
  <sheetViews>
    <sheetView workbookViewId="0">
      <selection activeCell="A6" sqref="A6:E10"/>
    </sheetView>
  </sheetViews>
  <sheetFormatPr baseColWidth="10" defaultRowHeight="15" x14ac:dyDescent="0.25"/>
  <cols>
    <col min="1" max="2" width="15.85546875" bestFit="1" customWidth="1"/>
    <col min="5" max="5" width="50.85546875" customWidth="1"/>
  </cols>
  <sheetData>
    <row r="1" spans="1:5" x14ac:dyDescent="0.25">
      <c r="B1" t="s">
        <v>152</v>
      </c>
    </row>
    <row r="2" spans="1:5" x14ac:dyDescent="0.25">
      <c r="A2" t="s">
        <v>174</v>
      </c>
      <c r="B2" s="69">
        <v>0.38</v>
      </c>
    </row>
    <row r="3" spans="1:5" x14ac:dyDescent="0.25">
      <c r="A3" t="s">
        <v>150</v>
      </c>
      <c r="B3" s="69">
        <v>0.2</v>
      </c>
    </row>
    <row r="4" spans="1:5" x14ac:dyDescent="0.25">
      <c r="A4" t="s">
        <v>151</v>
      </c>
      <c r="B4" s="69">
        <v>0.25</v>
      </c>
    </row>
    <row r="6" spans="1:5" ht="45" x14ac:dyDescent="0.25">
      <c r="A6" s="79" t="s">
        <v>66</v>
      </c>
      <c r="B6" s="79" t="s">
        <v>64</v>
      </c>
      <c r="C6" s="79" t="s">
        <v>153</v>
      </c>
      <c r="D6" s="79" t="s">
        <v>154</v>
      </c>
      <c r="E6" s="79" t="s">
        <v>155</v>
      </c>
    </row>
    <row r="7" spans="1:5" ht="30" x14ac:dyDescent="0.25">
      <c r="A7" s="73" t="s">
        <v>99</v>
      </c>
      <c r="B7" s="73" t="s">
        <v>156</v>
      </c>
      <c r="C7" s="73" t="s">
        <v>157</v>
      </c>
      <c r="D7" s="80" t="s">
        <v>158</v>
      </c>
      <c r="E7" s="73" t="s">
        <v>159</v>
      </c>
    </row>
    <row r="8" spans="1:5" ht="30" x14ac:dyDescent="0.25">
      <c r="A8" s="73" t="s">
        <v>104</v>
      </c>
      <c r="B8" s="73" t="s">
        <v>106</v>
      </c>
      <c r="C8" s="73" t="s">
        <v>160</v>
      </c>
      <c r="D8" s="80" t="s">
        <v>161</v>
      </c>
      <c r="E8" s="73" t="s">
        <v>162</v>
      </c>
    </row>
    <row r="9" spans="1:5" ht="30" x14ac:dyDescent="0.25">
      <c r="A9" s="73" t="s">
        <v>109</v>
      </c>
      <c r="B9" s="73" t="s">
        <v>163</v>
      </c>
      <c r="C9" s="73" t="s">
        <v>164</v>
      </c>
      <c r="D9" s="80" t="s">
        <v>165</v>
      </c>
      <c r="E9" s="73" t="s">
        <v>166</v>
      </c>
    </row>
    <row r="10" spans="1:5" ht="30" x14ac:dyDescent="0.25">
      <c r="A10" s="73" t="s">
        <v>114</v>
      </c>
      <c r="B10" s="73" t="s">
        <v>106</v>
      </c>
      <c r="C10" s="73" t="s">
        <v>167</v>
      </c>
      <c r="D10" s="80" t="s">
        <v>168</v>
      </c>
      <c r="E10" s="73" t="s">
        <v>169</v>
      </c>
    </row>
    <row r="11" spans="1:5" ht="45" x14ac:dyDescent="0.25">
      <c r="A11" s="73" t="s">
        <v>118</v>
      </c>
      <c r="B11" s="73" t="s">
        <v>170</v>
      </c>
      <c r="C11" s="73" t="s">
        <v>171</v>
      </c>
      <c r="D11" s="80" t="s">
        <v>172</v>
      </c>
      <c r="E11" s="73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27E0-FC8C-441F-9634-CEFB19D167AC}">
  <dimension ref="A1:R104"/>
  <sheetViews>
    <sheetView showGridLines="0" zoomScale="110" zoomScaleNormal="110" workbookViewId="0">
      <selection activeCell="E35" sqref="E35"/>
    </sheetView>
  </sheetViews>
  <sheetFormatPr baseColWidth="10" defaultColWidth="11.42578125" defaultRowHeight="15" x14ac:dyDescent="0.25"/>
  <cols>
    <col min="2" max="2" width="17.140625" customWidth="1"/>
    <col min="4" max="4" width="13.28515625" customWidth="1"/>
    <col min="5" max="5" width="11.7109375" bestFit="1" customWidth="1"/>
    <col min="8" max="8" width="12.7109375" bestFit="1" customWidth="1"/>
    <col min="11" max="11" width="2" style="90" customWidth="1"/>
    <col min="12" max="12" width="12" bestFit="1" customWidth="1"/>
    <col min="13" max="13" width="22.42578125" customWidth="1"/>
    <col min="14" max="14" width="11.28515625" bestFit="1" customWidth="1"/>
    <col min="17" max="17" width="13.7109375" bestFit="1" customWidth="1"/>
  </cols>
  <sheetData>
    <row r="1" spans="1:17" x14ac:dyDescent="0.25">
      <c r="A1" s="88" t="s">
        <v>223</v>
      </c>
      <c r="B1" s="89" t="s">
        <v>224</v>
      </c>
      <c r="L1" s="89" t="s">
        <v>225</v>
      </c>
    </row>
    <row r="5" spans="1:17" x14ac:dyDescent="0.25">
      <c r="M5" s="91" t="s">
        <v>226</v>
      </c>
      <c r="N5" s="91" t="s">
        <v>227</v>
      </c>
      <c r="P5" s="91" t="s">
        <v>226</v>
      </c>
      <c r="Q5" s="91" t="s">
        <v>227</v>
      </c>
    </row>
    <row r="6" spans="1:17" x14ac:dyDescent="0.25">
      <c r="B6" s="91" t="s">
        <v>226</v>
      </c>
      <c r="C6" s="91" t="s">
        <v>227</v>
      </c>
      <c r="M6" t="s">
        <v>228</v>
      </c>
      <c r="N6" s="64">
        <v>2500</v>
      </c>
      <c r="P6" t="s">
        <v>141</v>
      </c>
      <c r="Q6" s="64">
        <v>2500</v>
      </c>
    </row>
    <row r="7" spans="1:17" x14ac:dyDescent="0.25">
      <c r="B7" t="s">
        <v>6</v>
      </c>
      <c r="C7" s="66">
        <v>5400</v>
      </c>
      <c r="E7" s="67"/>
      <c r="F7" s="50"/>
      <c r="H7" s="67"/>
      <c r="M7" s="85" t="s">
        <v>141</v>
      </c>
      <c r="N7" s="92">
        <f>+CONVERT(N6,"g","kg")</f>
        <v>2.5</v>
      </c>
      <c r="P7" s="85" t="s">
        <v>228</v>
      </c>
      <c r="Q7" s="93">
        <f>+CONVERT(Q6,"kg","g")</f>
        <v>2500000</v>
      </c>
    </row>
    <row r="8" spans="1:17" x14ac:dyDescent="0.25">
      <c r="B8" t="s">
        <v>9</v>
      </c>
      <c r="C8" s="69">
        <v>0.25</v>
      </c>
      <c r="E8" s="67"/>
      <c r="F8" s="50"/>
      <c r="H8" s="69"/>
    </row>
    <row r="9" spans="1:17" x14ac:dyDescent="0.25">
      <c r="B9" s="85" t="s">
        <v>229</v>
      </c>
      <c r="C9" s="94">
        <f>+C7/(1-C8)</f>
        <v>7200</v>
      </c>
      <c r="H9" s="84"/>
    </row>
    <row r="11" spans="1:17" x14ac:dyDescent="0.25">
      <c r="L11" s="89" t="s">
        <v>230</v>
      </c>
      <c r="M11" s="89"/>
      <c r="N11" s="89"/>
      <c r="O11" s="89"/>
      <c r="P11" s="89"/>
    </row>
    <row r="12" spans="1:17" x14ac:dyDescent="0.25">
      <c r="A12" s="88" t="s">
        <v>231</v>
      </c>
      <c r="B12" s="89" t="s">
        <v>9</v>
      </c>
    </row>
    <row r="16" spans="1:17" x14ac:dyDescent="0.25">
      <c r="M16" s="91" t="s">
        <v>226</v>
      </c>
      <c r="N16" s="91" t="s">
        <v>227</v>
      </c>
    </row>
    <row r="17" spans="1:16" x14ac:dyDescent="0.25">
      <c r="B17" s="91" t="s">
        <v>226</v>
      </c>
      <c r="C17" s="91" t="s">
        <v>227</v>
      </c>
      <c r="M17" t="s">
        <v>232</v>
      </c>
      <c r="N17" s="6">
        <v>16000</v>
      </c>
    </row>
    <row r="18" spans="1:16" x14ac:dyDescent="0.25">
      <c r="B18" t="s">
        <v>6</v>
      </c>
      <c r="C18" s="66">
        <v>5400</v>
      </c>
      <c r="E18" s="50"/>
      <c r="M18" t="s">
        <v>233</v>
      </c>
      <c r="N18" s="6">
        <v>14000</v>
      </c>
    </row>
    <row r="19" spans="1:16" x14ac:dyDescent="0.25">
      <c r="B19" t="s">
        <v>229</v>
      </c>
      <c r="C19" s="66">
        <v>7200</v>
      </c>
      <c r="M19" s="85" t="s">
        <v>234</v>
      </c>
      <c r="N19" s="95">
        <f>+(N17-N18)/N17</f>
        <v>0.125</v>
      </c>
    </row>
    <row r="20" spans="1:16" x14ac:dyDescent="0.25">
      <c r="B20" s="85" t="s">
        <v>9</v>
      </c>
      <c r="C20" s="96">
        <f>1-(C18/C19)</f>
        <v>0.25</v>
      </c>
      <c r="D20" s="50"/>
    </row>
    <row r="22" spans="1:16" x14ac:dyDescent="0.25">
      <c r="L22" s="89" t="s">
        <v>235</v>
      </c>
      <c r="M22" s="89"/>
      <c r="N22" s="89"/>
      <c r="O22" s="97"/>
      <c r="P22" s="97"/>
    </row>
    <row r="23" spans="1:16" x14ac:dyDescent="0.25">
      <c r="A23" s="88" t="s">
        <v>236</v>
      </c>
      <c r="B23" s="89" t="s">
        <v>6</v>
      </c>
    </row>
    <row r="27" spans="1:16" x14ac:dyDescent="0.25">
      <c r="M27" s="91" t="s">
        <v>226</v>
      </c>
      <c r="N27" s="91" t="s">
        <v>227</v>
      </c>
    </row>
    <row r="28" spans="1:16" x14ac:dyDescent="0.25">
      <c r="B28" s="91" t="s">
        <v>226</v>
      </c>
      <c r="C28" s="91" t="s">
        <v>227</v>
      </c>
      <c r="M28" t="s">
        <v>232</v>
      </c>
      <c r="N28" s="66">
        <v>250000</v>
      </c>
    </row>
    <row r="29" spans="1:16" x14ac:dyDescent="0.25">
      <c r="B29" t="s">
        <v>229</v>
      </c>
      <c r="C29" s="66">
        <v>7200</v>
      </c>
      <c r="M29" t="s">
        <v>216</v>
      </c>
      <c r="N29" s="66">
        <v>70000</v>
      </c>
    </row>
    <row r="30" spans="1:16" x14ac:dyDescent="0.25">
      <c r="B30" t="s">
        <v>9</v>
      </c>
      <c r="C30" s="69">
        <v>0.25</v>
      </c>
      <c r="M30" t="s">
        <v>237</v>
      </c>
      <c r="N30" s="66">
        <v>40000</v>
      </c>
    </row>
    <row r="31" spans="1:16" x14ac:dyDescent="0.25">
      <c r="B31" s="85" t="s">
        <v>238</v>
      </c>
      <c r="C31" s="94">
        <f>+C29*(1-C30)</f>
        <v>5400</v>
      </c>
      <c r="M31" s="85" t="s">
        <v>239</v>
      </c>
      <c r="N31" s="98">
        <f>+(N29-N30)/N28</f>
        <v>0.12</v>
      </c>
    </row>
    <row r="32" spans="1:16" x14ac:dyDescent="0.25">
      <c r="B32" s="85" t="s">
        <v>240</v>
      </c>
      <c r="C32" s="94">
        <f>+C29-(C29*C30)</f>
        <v>5400</v>
      </c>
    </row>
    <row r="35" spans="1:14" x14ac:dyDescent="0.25">
      <c r="A35" s="88" t="s">
        <v>241</v>
      </c>
      <c r="B35" s="89" t="s">
        <v>242</v>
      </c>
      <c r="C35" s="89"/>
      <c r="L35" s="89" t="s">
        <v>243</v>
      </c>
      <c r="M35" s="89"/>
      <c r="N35" s="97"/>
    </row>
    <row r="40" spans="1:14" x14ac:dyDescent="0.25">
      <c r="B40" s="91" t="s">
        <v>226</v>
      </c>
      <c r="C40" s="91" t="s">
        <v>227</v>
      </c>
    </row>
    <row r="41" spans="1:14" x14ac:dyDescent="0.25">
      <c r="B41" t="s">
        <v>244</v>
      </c>
      <c r="C41" s="66">
        <v>4500</v>
      </c>
      <c r="H41" s="67"/>
      <c r="M41" s="91" t="s">
        <v>226</v>
      </c>
      <c r="N41" s="91" t="s">
        <v>227</v>
      </c>
    </row>
    <row r="42" spans="1:14" x14ac:dyDescent="0.25">
      <c r="B42" t="s">
        <v>245</v>
      </c>
      <c r="C42" s="64">
        <v>10</v>
      </c>
      <c r="H42" s="67"/>
      <c r="M42" t="s">
        <v>224</v>
      </c>
      <c r="N42" s="64">
        <v>5000</v>
      </c>
    </row>
    <row r="43" spans="1:14" x14ac:dyDescent="0.25">
      <c r="B43" s="85" t="s">
        <v>246</v>
      </c>
      <c r="C43" s="94">
        <f>+C41/C42</f>
        <v>450</v>
      </c>
      <c r="H43" s="67"/>
      <c r="M43" t="s">
        <v>247</v>
      </c>
      <c r="N43" s="64">
        <v>3500</v>
      </c>
    </row>
    <row r="44" spans="1:14" x14ac:dyDescent="0.25">
      <c r="C44" s="66"/>
      <c r="H44" s="84"/>
      <c r="I44" s="84"/>
      <c r="M44" t="s">
        <v>248</v>
      </c>
      <c r="N44" s="64">
        <v>100</v>
      </c>
    </row>
    <row r="45" spans="1:14" x14ac:dyDescent="0.25">
      <c r="M45" t="s">
        <v>216</v>
      </c>
      <c r="N45" s="64">
        <f>+(N42*N44)-(N43*N44)</f>
        <v>150000</v>
      </c>
    </row>
    <row r="46" spans="1:14" x14ac:dyDescent="0.25">
      <c r="A46" s="88" t="s">
        <v>249</v>
      </c>
      <c r="B46" s="89" t="s">
        <v>250</v>
      </c>
      <c r="M46" s="85" t="s">
        <v>251</v>
      </c>
      <c r="N46" s="98">
        <f>+N45/(N43*N44)</f>
        <v>0.42857142857142855</v>
      </c>
    </row>
    <row r="51" spans="1:18" x14ac:dyDescent="0.25">
      <c r="M51" s="91" t="s">
        <v>226</v>
      </c>
      <c r="N51" s="91" t="s">
        <v>227</v>
      </c>
      <c r="Q51" s="91" t="s">
        <v>226</v>
      </c>
      <c r="R51" s="91" t="s">
        <v>227</v>
      </c>
    </row>
    <row r="52" spans="1:18" x14ac:dyDescent="0.25">
      <c r="B52" s="91" t="s">
        <v>226</v>
      </c>
      <c r="C52" s="91" t="s">
        <v>227</v>
      </c>
      <c r="M52" t="s">
        <v>6</v>
      </c>
      <c r="N52" s="64">
        <f>+N43</f>
        <v>3500</v>
      </c>
      <c r="Q52" t="s">
        <v>6</v>
      </c>
      <c r="R52" s="64">
        <f>+N43</f>
        <v>3500</v>
      </c>
    </row>
    <row r="53" spans="1:18" x14ac:dyDescent="0.25">
      <c r="B53" t="s">
        <v>252</v>
      </c>
      <c r="C53" s="66">
        <v>4500</v>
      </c>
      <c r="M53" t="s">
        <v>251</v>
      </c>
      <c r="N53" s="65">
        <f>+N46</f>
        <v>0.42857142857142855</v>
      </c>
      <c r="Q53" t="s">
        <v>253</v>
      </c>
      <c r="R53" s="65">
        <f>+N46</f>
        <v>0.42857142857142855</v>
      </c>
    </row>
    <row r="54" spans="1:18" x14ac:dyDescent="0.25">
      <c r="B54" t="s">
        <v>246</v>
      </c>
      <c r="C54" s="64">
        <v>4800</v>
      </c>
      <c r="M54" s="85" t="s">
        <v>224</v>
      </c>
      <c r="N54" s="93">
        <f>+N52*(1+N53)</f>
        <v>5000</v>
      </c>
      <c r="Q54" s="85" t="s">
        <v>224</v>
      </c>
      <c r="R54" s="93">
        <f>+R52/(1-R53)</f>
        <v>6125</v>
      </c>
    </row>
    <row r="55" spans="1:18" x14ac:dyDescent="0.25">
      <c r="B55" s="85" t="s">
        <v>254</v>
      </c>
      <c r="C55" s="99">
        <f>+C53/C54</f>
        <v>0.9375</v>
      </c>
      <c r="N55" s="64"/>
    </row>
    <row r="56" spans="1:18" x14ac:dyDescent="0.25">
      <c r="M56" s="85"/>
      <c r="N56" s="98"/>
    </row>
    <row r="58" spans="1:18" x14ac:dyDescent="0.25">
      <c r="L58" s="89" t="s">
        <v>206</v>
      </c>
      <c r="M58" s="89"/>
    </row>
    <row r="60" spans="1:18" x14ac:dyDescent="0.25">
      <c r="A60" s="88">
        <v>6</v>
      </c>
      <c r="B60" s="89" t="s">
        <v>23</v>
      </c>
    </row>
    <row r="62" spans="1:18" x14ac:dyDescent="0.25">
      <c r="M62" s="91" t="s">
        <v>226</v>
      </c>
      <c r="N62" s="91" t="s">
        <v>227</v>
      </c>
    </row>
    <row r="63" spans="1:18" x14ac:dyDescent="0.25">
      <c r="M63" t="s">
        <v>255</v>
      </c>
      <c r="N63" s="64">
        <v>6500</v>
      </c>
    </row>
    <row r="64" spans="1:18" x14ac:dyDescent="0.25">
      <c r="B64" s="91" t="s">
        <v>226</v>
      </c>
      <c r="C64" s="91" t="s">
        <v>227</v>
      </c>
      <c r="M64" t="s">
        <v>256</v>
      </c>
      <c r="N64" s="64">
        <v>4500</v>
      </c>
    </row>
    <row r="65" spans="1:14" x14ac:dyDescent="0.25">
      <c r="B65" t="s">
        <v>257</v>
      </c>
      <c r="C65" s="66">
        <v>3000000</v>
      </c>
      <c r="M65" s="85" t="s">
        <v>206</v>
      </c>
      <c r="N65" s="93">
        <f>+N63-N64</f>
        <v>2000</v>
      </c>
    </row>
    <row r="66" spans="1:14" x14ac:dyDescent="0.25">
      <c r="B66" t="s">
        <v>258</v>
      </c>
      <c r="C66" s="64">
        <v>4800</v>
      </c>
    </row>
    <row r="67" spans="1:14" x14ac:dyDescent="0.25">
      <c r="B67" s="85" t="s">
        <v>259</v>
      </c>
      <c r="C67" s="100">
        <f>+C65/C66</f>
        <v>625</v>
      </c>
    </row>
    <row r="70" spans="1:14" x14ac:dyDescent="0.25">
      <c r="A70" s="88" t="s">
        <v>260</v>
      </c>
      <c r="B70" s="89" t="s">
        <v>261</v>
      </c>
      <c r="M70" s="91" t="s">
        <v>226</v>
      </c>
      <c r="N70" s="91" t="s">
        <v>227</v>
      </c>
    </row>
    <row r="71" spans="1:14" x14ac:dyDescent="0.25">
      <c r="M71" t="s">
        <v>206</v>
      </c>
      <c r="N71" s="64">
        <f>+N65</f>
        <v>2000</v>
      </c>
    </row>
    <row r="72" spans="1:14" x14ac:dyDescent="0.25">
      <c r="B72" s="101" t="s">
        <v>262</v>
      </c>
      <c r="C72" s="102" t="s">
        <v>263</v>
      </c>
      <c r="D72" s="102"/>
      <c r="E72" s="102"/>
      <c r="M72" t="s">
        <v>255</v>
      </c>
      <c r="N72" s="64">
        <v>6500</v>
      </c>
    </row>
    <row r="73" spans="1:14" x14ac:dyDescent="0.25">
      <c r="M73" t="s">
        <v>256</v>
      </c>
      <c r="N73" s="64">
        <v>4500</v>
      </c>
    </row>
    <row r="74" spans="1:14" x14ac:dyDescent="0.25">
      <c r="D74" s="103" t="s">
        <v>264</v>
      </c>
      <c r="E74" s="103" t="s">
        <v>265</v>
      </c>
      <c r="M74" s="85" t="s">
        <v>206</v>
      </c>
      <c r="N74" s="99">
        <f>+N71/N72</f>
        <v>0.30769230769230771</v>
      </c>
    </row>
    <row r="75" spans="1:14" x14ac:dyDescent="0.25">
      <c r="D75" s="103" t="s">
        <v>266</v>
      </c>
      <c r="E75" s="103" t="s">
        <v>267</v>
      </c>
    </row>
    <row r="76" spans="1:14" x14ac:dyDescent="0.25">
      <c r="D76" s="103" t="s">
        <v>268</v>
      </c>
      <c r="E76" s="103" t="s">
        <v>269</v>
      </c>
    </row>
    <row r="78" spans="1:14" x14ac:dyDescent="0.25">
      <c r="B78" s="91" t="s">
        <v>226</v>
      </c>
      <c r="C78" s="91" t="s">
        <v>227</v>
      </c>
    </row>
    <row r="79" spans="1:14" x14ac:dyDescent="0.25">
      <c r="B79" t="s">
        <v>229</v>
      </c>
      <c r="C79" s="64">
        <v>7500</v>
      </c>
    </row>
    <row r="80" spans="1:14" x14ac:dyDescent="0.25">
      <c r="B80" t="s">
        <v>270</v>
      </c>
      <c r="C80" s="64">
        <v>7800</v>
      </c>
    </row>
    <row r="81" spans="1:5" x14ac:dyDescent="0.25">
      <c r="B81" s="85" t="s">
        <v>271</v>
      </c>
      <c r="C81" s="104">
        <f>+C79/C80</f>
        <v>0.96153846153846156</v>
      </c>
      <c r="D81" s="50"/>
    </row>
    <row r="84" spans="1:5" x14ac:dyDescent="0.25">
      <c r="D84" s="103" t="s">
        <v>272</v>
      </c>
      <c r="E84" s="103" t="s">
        <v>265</v>
      </c>
    </row>
    <row r="85" spans="1:5" x14ac:dyDescent="0.25">
      <c r="D85" s="103" t="s">
        <v>273</v>
      </c>
      <c r="E85" s="103" t="s">
        <v>267</v>
      </c>
    </row>
    <row r="86" spans="1:5" x14ac:dyDescent="0.25">
      <c r="D86" s="103" t="s">
        <v>274</v>
      </c>
      <c r="E86" s="103" t="s">
        <v>269</v>
      </c>
    </row>
    <row r="88" spans="1:5" x14ac:dyDescent="0.25">
      <c r="B88" s="91" t="s">
        <v>226</v>
      </c>
      <c r="C88" s="91" t="s">
        <v>227</v>
      </c>
    </row>
    <row r="89" spans="1:5" x14ac:dyDescent="0.25">
      <c r="B89" t="s">
        <v>229</v>
      </c>
      <c r="C89" s="64">
        <v>7500</v>
      </c>
    </row>
    <row r="90" spans="1:5" x14ac:dyDescent="0.25">
      <c r="B90" t="s">
        <v>270</v>
      </c>
      <c r="C90" s="64">
        <v>7800</v>
      </c>
    </row>
    <row r="91" spans="1:5" x14ac:dyDescent="0.25">
      <c r="B91" s="85" t="s">
        <v>271</v>
      </c>
      <c r="C91" s="105">
        <f>+C89/C90</f>
        <v>0.96153846153846156</v>
      </c>
      <c r="D91" s="106"/>
    </row>
    <row r="95" spans="1:5" x14ac:dyDescent="0.25">
      <c r="A95" s="88" t="s">
        <v>275</v>
      </c>
      <c r="B95" s="89" t="s">
        <v>276</v>
      </c>
    </row>
    <row r="101" spans="2:5" x14ac:dyDescent="0.25">
      <c r="B101" s="91" t="s">
        <v>226</v>
      </c>
      <c r="C101" s="91" t="s">
        <v>227</v>
      </c>
    </row>
    <row r="102" spans="2:5" x14ac:dyDescent="0.25">
      <c r="B102" t="s">
        <v>277</v>
      </c>
      <c r="C102" s="64">
        <v>9500</v>
      </c>
    </row>
    <row r="103" spans="2:5" x14ac:dyDescent="0.25">
      <c r="B103" t="s">
        <v>278</v>
      </c>
      <c r="C103" s="64">
        <v>8900</v>
      </c>
      <c r="E103" s="65"/>
    </row>
    <row r="104" spans="2:5" x14ac:dyDescent="0.25">
      <c r="B104" s="85" t="s">
        <v>271</v>
      </c>
      <c r="C104" s="98">
        <f>ABS((C103/C102)-1)</f>
        <v>6.315789473684208E-2</v>
      </c>
      <c r="D104" s="65"/>
    </row>
  </sheetData>
  <sheetProtection algorithmName="SHA-512" hashValue="2McVzXQv/8q0KwwW4kZeLpZ/hzMFt8IRTBLaMrzNt3V+3AAFaG/HW6X0pcImq3rqZDfB+Pyjq7Y1qWJfWIQHnw==" saltValue="VQ6LvxD4pqex7UiQCwqvTg==" spinCount="100000" sheet="1" objects="1" scenarios="1"/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11B0-7BF7-44FC-B4B8-AA5B5C548698}">
  <dimension ref="B2:P58"/>
  <sheetViews>
    <sheetView showGridLines="0" zoomScale="80" zoomScaleNormal="80" workbookViewId="0">
      <selection activeCell="N39" sqref="N39"/>
    </sheetView>
  </sheetViews>
  <sheetFormatPr baseColWidth="10" defaultRowHeight="15" x14ac:dyDescent="0.25"/>
  <sheetData>
    <row r="2" spans="2:4" ht="21" x14ac:dyDescent="0.35">
      <c r="B2" s="55" t="s">
        <v>46</v>
      </c>
      <c r="C2" s="48"/>
      <c r="D2" s="48"/>
    </row>
    <row r="19" spans="2:13" ht="21" x14ac:dyDescent="0.35">
      <c r="B19" s="55" t="s">
        <v>47</v>
      </c>
      <c r="C19" s="56"/>
    </row>
    <row r="21" spans="2:13" x14ac:dyDescent="0.25">
      <c r="I21" t="s">
        <v>48</v>
      </c>
      <c r="J21" s="49">
        <v>7800</v>
      </c>
    </row>
    <row r="28" spans="2:13" x14ac:dyDescent="0.25">
      <c r="D28" t="s">
        <v>50</v>
      </c>
    </row>
    <row r="29" spans="2:13" x14ac:dyDescent="0.25">
      <c r="D29" s="49">
        <v>9100</v>
      </c>
    </row>
    <row r="32" spans="2:13" x14ac:dyDescent="0.25">
      <c r="M32" s="50"/>
    </row>
    <row r="33" spans="3:16" x14ac:dyDescent="0.25">
      <c r="E33" t="s">
        <v>51</v>
      </c>
      <c r="I33" t="s">
        <v>49</v>
      </c>
      <c r="L33" s="50"/>
    </row>
    <row r="34" spans="3:16" x14ac:dyDescent="0.25">
      <c r="M34" s="50"/>
    </row>
    <row r="35" spans="3:16" x14ac:dyDescent="0.25">
      <c r="K35" s="49">
        <v>9860</v>
      </c>
    </row>
    <row r="37" spans="3:16" x14ac:dyDescent="0.25">
      <c r="D37" t="s">
        <v>52</v>
      </c>
      <c r="F37" t="s">
        <v>53</v>
      </c>
    </row>
    <row r="39" spans="3:16" x14ac:dyDescent="0.25">
      <c r="D39" s="49">
        <v>8190</v>
      </c>
      <c r="F39" s="49">
        <v>10200</v>
      </c>
    </row>
    <row r="42" spans="3:16" x14ac:dyDescent="0.25">
      <c r="P42" s="50"/>
    </row>
    <row r="43" spans="3:16" x14ac:dyDescent="0.25">
      <c r="H43" t="s">
        <v>57</v>
      </c>
      <c r="K43" t="s">
        <v>58</v>
      </c>
    </row>
    <row r="44" spans="3:16" x14ac:dyDescent="0.25">
      <c r="C44" t="s">
        <v>54</v>
      </c>
      <c r="H44" s="51">
        <v>8775</v>
      </c>
      <c r="K44" s="51">
        <v>10550</v>
      </c>
      <c r="P44" s="50"/>
    </row>
    <row r="46" spans="3:16" x14ac:dyDescent="0.25">
      <c r="C46" s="49">
        <v>600</v>
      </c>
      <c r="H46" t="s">
        <v>59</v>
      </c>
      <c r="I46" s="49">
        <v>300</v>
      </c>
      <c r="K46" s="49"/>
    </row>
    <row r="47" spans="3:16" x14ac:dyDescent="0.25">
      <c r="H47" t="s">
        <v>60</v>
      </c>
      <c r="I47" s="49">
        <v>120</v>
      </c>
    </row>
    <row r="56" spans="4:6" x14ac:dyDescent="0.25">
      <c r="D56" t="s">
        <v>55</v>
      </c>
      <c r="F56" t="s">
        <v>56</v>
      </c>
    </row>
    <row r="58" spans="4:6" x14ac:dyDescent="0.25">
      <c r="D58" s="51">
        <v>200</v>
      </c>
      <c r="E58" s="52"/>
      <c r="F58" s="51">
        <v>1000</v>
      </c>
    </row>
  </sheetData>
  <sheetProtection algorithmName="SHA-512" hashValue="cpHojGWrHDXyUIIzRhawhPrRrRpT4HFTTU51WdE+hb17NaDQYrCHw0WldPmKHVEu3gHq9iMK5obQdoqHdBO0wA==" saltValue="8k1+6nVTmxRsSlJ1hDV7Sw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6D29E-9180-4165-923D-519698F982FC}">
  <dimension ref="A2:G46"/>
  <sheetViews>
    <sheetView showGridLines="0" workbookViewId="0">
      <selection activeCell="D43" sqref="D43"/>
    </sheetView>
  </sheetViews>
  <sheetFormatPr baseColWidth="10" defaultRowHeight="15" x14ac:dyDescent="0.25"/>
  <cols>
    <col min="1" max="1" width="39.85546875" customWidth="1"/>
    <col min="2" max="2" width="50.28515625" customWidth="1"/>
    <col min="3" max="3" width="39.5703125" bestFit="1" customWidth="1"/>
    <col min="4" max="4" width="19.42578125" bestFit="1" customWidth="1"/>
    <col min="5" max="5" width="40.140625" customWidth="1"/>
    <col min="6" max="6" width="103.7109375" bestFit="1" customWidth="1"/>
  </cols>
  <sheetData>
    <row r="2" spans="1:5" ht="21" x14ac:dyDescent="0.35">
      <c r="A2" s="127" t="s">
        <v>78</v>
      </c>
      <c r="B2" s="127"/>
      <c r="C2" s="127"/>
      <c r="D2" s="127"/>
      <c r="E2" s="127"/>
    </row>
    <row r="4" spans="1:5" x14ac:dyDescent="0.25">
      <c r="C4" s="126" t="s">
        <v>83</v>
      </c>
      <c r="D4" s="126"/>
      <c r="E4" s="126"/>
    </row>
    <row r="5" spans="1:5" x14ac:dyDescent="0.25">
      <c r="A5" s="68" t="s">
        <v>64</v>
      </c>
      <c r="B5" s="68" t="s">
        <v>82</v>
      </c>
      <c r="C5" s="68" t="s">
        <v>79</v>
      </c>
      <c r="D5" s="68" t="s">
        <v>80</v>
      </c>
      <c r="E5" s="68" t="s">
        <v>81</v>
      </c>
    </row>
    <row r="6" spans="1:5" x14ac:dyDescent="0.25">
      <c r="A6" t="s">
        <v>84</v>
      </c>
      <c r="B6">
        <v>6000</v>
      </c>
      <c r="C6" s="67">
        <v>8990</v>
      </c>
      <c r="D6" s="67">
        <v>1300</v>
      </c>
      <c r="E6" s="67">
        <f>SUM(C6+D6)</f>
        <v>10290</v>
      </c>
    </row>
    <row r="7" spans="1:5" x14ac:dyDescent="0.25">
      <c r="A7" t="s">
        <v>85</v>
      </c>
      <c r="B7">
        <v>2000</v>
      </c>
      <c r="C7" s="67">
        <v>10670</v>
      </c>
      <c r="D7" s="67">
        <v>1300</v>
      </c>
      <c r="E7" s="67">
        <f>SUM(C7+D7)</f>
        <v>11970</v>
      </c>
    </row>
    <row r="8" spans="1:5" x14ac:dyDescent="0.25">
      <c r="A8" t="s">
        <v>86</v>
      </c>
      <c r="B8">
        <v>240</v>
      </c>
      <c r="C8" s="67">
        <v>38000</v>
      </c>
      <c r="D8" s="67">
        <v>1300</v>
      </c>
      <c r="E8" s="67">
        <f>SUM(C8+D8)</f>
        <v>39300</v>
      </c>
    </row>
    <row r="11" spans="1:5" x14ac:dyDescent="0.25">
      <c r="A11" s="60" t="s">
        <v>87</v>
      </c>
      <c r="B11" s="69">
        <v>0.38</v>
      </c>
    </row>
    <row r="13" spans="1:5" ht="30" x14ac:dyDescent="0.25">
      <c r="A13" s="70" t="s">
        <v>92</v>
      </c>
    </row>
    <row r="15" spans="1:5" x14ac:dyDescent="0.25">
      <c r="A15" t="s">
        <v>88</v>
      </c>
      <c r="B15" s="67">
        <v>9980</v>
      </c>
    </row>
    <row r="16" spans="1:5" x14ac:dyDescent="0.25">
      <c r="A16" t="s">
        <v>89</v>
      </c>
      <c r="B16" s="67">
        <v>12980</v>
      </c>
    </row>
    <row r="17" spans="1:7" x14ac:dyDescent="0.25">
      <c r="A17" t="s">
        <v>90</v>
      </c>
      <c r="B17" s="67">
        <v>27900</v>
      </c>
    </row>
    <row r="18" spans="1:7" x14ac:dyDescent="0.25">
      <c r="A18" t="s">
        <v>91</v>
      </c>
      <c r="B18" s="67">
        <v>29600</v>
      </c>
    </row>
    <row r="20" spans="1:7" x14ac:dyDescent="0.25">
      <c r="A20" s="60" t="s">
        <v>93</v>
      </c>
    </row>
    <row r="22" spans="1:7" x14ac:dyDescent="0.25">
      <c r="A22" s="68" t="s">
        <v>66</v>
      </c>
      <c r="B22" s="68" t="s">
        <v>94</v>
      </c>
      <c r="C22" s="68" t="s">
        <v>95</v>
      </c>
      <c r="D22" s="68" t="s">
        <v>96</v>
      </c>
      <c r="E22" s="68" t="s">
        <v>97</v>
      </c>
      <c r="F22" s="68" t="s">
        <v>98</v>
      </c>
      <c r="G22" s="52"/>
    </row>
    <row r="23" spans="1:7" x14ac:dyDescent="0.25">
      <c r="A23" t="s">
        <v>99</v>
      </c>
      <c r="B23" t="s">
        <v>100</v>
      </c>
      <c r="C23" t="s">
        <v>101</v>
      </c>
      <c r="D23">
        <v>-1.8</v>
      </c>
      <c r="E23" t="s">
        <v>102</v>
      </c>
      <c r="F23" t="s">
        <v>103</v>
      </c>
    </row>
    <row r="24" spans="1:7" x14ac:dyDescent="0.25">
      <c r="A24" t="s">
        <v>104</v>
      </c>
      <c r="B24" t="s">
        <v>105</v>
      </c>
      <c r="C24" t="s">
        <v>106</v>
      </c>
      <c r="D24">
        <v>-1.4</v>
      </c>
      <c r="E24" t="s">
        <v>107</v>
      </c>
      <c r="F24" t="s">
        <v>108</v>
      </c>
    </row>
    <row r="25" spans="1:7" x14ac:dyDescent="0.25">
      <c r="A25" t="s">
        <v>109</v>
      </c>
      <c r="B25" t="s">
        <v>110</v>
      </c>
      <c r="C25" t="s">
        <v>111</v>
      </c>
      <c r="D25">
        <v>-0.5</v>
      </c>
      <c r="E25" t="s">
        <v>112</v>
      </c>
      <c r="F25" t="s">
        <v>113</v>
      </c>
    </row>
    <row r="26" spans="1:7" x14ac:dyDescent="0.25">
      <c r="A26" t="s">
        <v>114</v>
      </c>
      <c r="B26" t="s">
        <v>115</v>
      </c>
      <c r="C26" t="s">
        <v>106</v>
      </c>
      <c r="D26">
        <v>-1.7</v>
      </c>
      <c r="E26" t="s">
        <v>116</v>
      </c>
      <c r="F26" t="s">
        <v>117</v>
      </c>
    </row>
    <row r="29" spans="1:7" x14ac:dyDescent="0.25">
      <c r="A29" s="60" t="s">
        <v>119</v>
      </c>
    </row>
    <row r="31" spans="1:7" x14ac:dyDescent="0.25">
      <c r="A31" s="68" t="s">
        <v>120</v>
      </c>
      <c r="B31" s="68" t="s">
        <v>121</v>
      </c>
    </row>
    <row r="32" spans="1:7" ht="30" x14ac:dyDescent="0.25">
      <c r="A32" s="72" t="s">
        <v>122</v>
      </c>
      <c r="B32" s="73" t="s">
        <v>123</v>
      </c>
    </row>
    <row r="33" spans="1:5" ht="30" x14ac:dyDescent="0.25">
      <c r="A33" s="72" t="s">
        <v>124</v>
      </c>
      <c r="B33" s="73" t="s">
        <v>125</v>
      </c>
    </row>
    <row r="34" spans="1:5" ht="38.25" customHeight="1" x14ac:dyDescent="0.25">
      <c r="A34" s="72" t="s">
        <v>126</v>
      </c>
      <c r="B34" s="73" t="s">
        <v>127</v>
      </c>
    </row>
    <row r="35" spans="1:5" ht="30" x14ac:dyDescent="0.25">
      <c r="A35" s="72" t="s">
        <v>128</v>
      </c>
      <c r="B35" s="73" t="s">
        <v>129</v>
      </c>
    </row>
    <row r="36" spans="1:5" ht="24" customHeight="1" x14ac:dyDescent="0.25">
      <c r="A36" s="72" t="s">
        <v>130</v>
      </c>
      <c r="B36" s="73" t="s">
        <v>135</v>
      </c>
    </row>
    <row r="37" spans="1:5" ht="36.75" customHeight="1" x14ac:dyDescent="0.25">
      <c r="A37" s="72" t="s">
        <v>131</v>
      </c>
      <c r="B37" s="73" t="s">
        <v>132</v>
      </c>
    </row>
    <row r="38" spans="1:5" ht="40.5" customHeight="1" x14ac:dyDescent="0.25">
      <c r="A38" s="72" t="s">
        <v>133</v>
      </c>
      <c r="B38" s="73" t="s">
        <v>134</v>
      </c>
    </row>
    <row r="40" spans="1:5" x14ac:dyDescent="0.25">
      <c r="A40" s="60" t="s">
        <v>144</v>
      </c>
    </row>
    <row r="42" spans="1:5" x14ac:dyDescent="0.25">
      <c r="A42" s="68" t="s">
        <v>66</v>
      </c>
      <c r="B42" s="68" t="s">
        <v>64</v>
      </c>
      <c r="C42" s="68" t="s">
        <v>136</v>
      </c>
      <c r="D42" s="68" t="s">
        <v>137</v>
      </c>
      <c r="E42" s="68" t="s">
        <v>138</v>
      </c>
    </row>
    <row r="43" spans="1:5" x14ac:dyDescent="0.25">
      <c r="A43" s="74" t="s">
        <v>99</v>
      </c>
      <c r="B43" s="74" t="s">
        <v>101</v>
      </c>
      <c r="C43" s="1">
        <v>1200</v>
      </c>
      <c r="D43" s="1" t="s">
        <v>139</v>
      </c>
      <c r="E43" s="16" t="s">
        <v>145</v>
      </c>
    </row>
    <row r="44" spans="1:5" ht="45" x14ac:dyDescent="0.25">
      <c r="A44" s="74" t="s">
        <v>104</v>
      </c>
      <c r="B44" s="74" t="s">
        <v>106</v>
      </c>
      <c r="C44" s="1">
        <v>5500</v>
      </c>
      <c r="D44" s="1" t="s">
        <v>139</v>
      </c>
      <c r="E44" s="16" t="s">
        <v>140</v>
      </c>
    </row>
    <row r="45" spans="1:5" ht="30" x14ac:dyDescent="0.25">
      <c r="A45" s="74" t="s">
        <v>109</v>
      </c>
      <c r="B45" s="74" t="s">
        <v>111</v>
      </c>
      <c r="C45" s="1">
        <v>1000</v>
      </c>
      <c r="D45" s="1" t="s">
        <v>141</v>
      </c>
      <c r="E45" s="16" t="s">
        <v>142</v>
      </c>
    </row>
    <row r="46" spans="1:5" ht="30" x14ac:dyDescent="0.25">
      <c r="A46" s="74" t="s">
        <v>114</v>
      </c>
      <c r="B46" s="74" t="s">
        <v>106</v>
      </c>
      <c r="C46" s="1">
        <v>8000</v>
      </c>
      <c r="D46" s="1" t="s">
        <v>139</v>
      </c>
      <c r="E46" s="16" t="s">
        <v>143</v>
      </c>
    </row>
  </sheetData>
  <mergeCells count="2">
    <mergeCell ref="C4:E4"/>
    <mergeCell ref="A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C68D4-4C34-456A-93AB-905978BBB65A}">
  <dimension ref="A1:R14"/>
  <sheetViews>
    <sheetView showGridLines="0" workbookViewId="0">
      <pane ySplit="7" topLeftCell="A8" activePane="bottomLeft" state="frozen"/>
      <selection pane="bottomLeft" activeCell="A7" sqref="A7:R11"/>
    </sheetView>
  </sheetViews>
  <sheetFormatPr baseColWidth="10" defaultRowHeight="15" x14ac:dyDescent="0.25"/>
  <cols>
    <col min="1" max="1" width="31.140625" bestFit="1" customWidth="1"/>
    <col min="2" max="2" width="13.7109375" customWidth="1"/>
    <col min="3" max="3" width="15.42578125" customWidth="1"/>
    <col min="4" max="4" width="12.7109375" bestFit="1" customWidth="1"/>
    <col min="5" max="5" width="12.5703125" customWidth="1"/>
    <col min="6" max="6" width="10.5703125" bestFit="1" customWidth="1"/>
    <col min="7" max="7" width="10.85546875" bestFit="1" customWidth="1"/>
    <col min="8" max="8" width="16" customWidth="1"/>
    <col min="9" max="9" width="16.42578125" customWidth="1"/>
    <col min="10" max="10" width="9.5703125" bestFit="1" customWidth="1"/>
    <col min="12" max="12" width="11.42578125" customWidth="1"/>
    <col min="13" max="13" width="11.85546875" customWidth="1"/>
    <col min="14" max="14" width="17.140625" bestFit="1" customWidth="1"/>
    <col min="15" max="15" width="12.5703125" customWidth="1"/>
    <col min="16" max="16" width="13.42578125" customWidth="1"/>
    <col min="17" max="17" width="12.5703125" customWidth="1"/>
  </cols>
  <sheetData>
    <row r="1" spans="1:18" ht="29.25" customHeight="1" x14ac:dyDescent="0.35">
      <c r="A1" s="57" t="s">
        <v>65</v>
      </c>
    </row>
    <row r="2" spans="1:18" ht="29.25" customHeight="1" x14ac:dyDescent="0.25"/>
    <row r="3" spans="1:18" ht="15.75" thickBot="1" x14ac:dyDescent="0.3">
      <c r="B3" s="58" t="s">
        <v>66</v>
      </c>
      <c r="C3" s="58" t="s">
        <v>151</v>
      </c>
      <c r="E3" s="59" t="s">
        <v>67</v>
      </c>
      <c r="F3" s="59"/>
    </row>
    <row r="4" spans="1:18" ht="15.75" customHeight="1" thickTop="1" x14ac:dyDescent="0.25">
      <c r="E4" s="128">
        <f>+VLOOKUP(C3,Base!$A$2:$B$4,2,FALSE)</f>
        <v>0.25</v>
      </c>
      <c r="F4" s="129"/>
    </row>
    <row r="5" spans="1:18" ht="15.75" customHeight="1" thickBot="1" x14ac:dyDescent="0.3">
      <c r="E5" s="130"/>
      <c r="F5" s="131"/>
    </row>
    <row r="6" spans="1:18" ht="15.75" thickTop="1" x14ac:dyDescent="0.25"/>
    <row r="7" spans="1:18" ht="45" x14ac:dyDescent="0.25">
      <c r="A7" s="121" t="s">
        <v>68</v>
      </c>
      <c r="B7" s="121" t="s">
        <v>69</v>
      </c>
      <c r="C7" s="121" t="s">
        <v>182</v>
      </c>
      <c r="D7" s="121" t="s">
        <v>137</v>
      </c>
      <c r="E7" s="121" t="s">
        <v>70</v>
      </c>
      <c r="F7" s="122" t="s">
        <v>71</v>
      </c>
      <c r="G7" s="122" t="s">
        <v>72</v>
      </c>
      <c r="H7" s="122" t="s">
        <v>73</v>
      </c>
      <c r="I7" s="122" t="s">
        <v>74</v>
      </c>
      <c r="J7" s="82" t="s">
        <v>176</v>
      </c>
      <c r="K7" s="81" t="s">
        <v>75</v>
      </c>
      <c r="L7" s="123" t="s">
        <v>178</v>
      </c>
      <c r="M7" s="123" t="s">
        <v>76</v>
      </c>
      <c r="N7" s="124" t="s">
        <v>175</v>
      </c>
      <c r="O7" s="125" t="s">
        <v>77</v>
      </c>
      <c r="P7" s="125" t="s">
        <v>177</v>
      </c>
      <c r="Q7" s="122" t="s">
        <v>179</v>
      </c>
    </row>
    <row r="8" spans="1:18" x14ac:dyDescent="0.25">
      <c r="A8" s="75" t="s">
        <v>146</v>
      </c>
      <c r="B8" s="83" t="s">
        <v>57</v>
      </c>
      <c r="C8" s="52">
        <v>6000</v>
      </c>
      <c r="D8" t="s">
        <v>180</v>
      </c>
      <c r="E8" s="76" t="s">
        <v>55</v>
      </c>
      <c r="F8" s="77">
        <f>+'Datos Ejercicio'!E6</f>
        <v>10290</v>
      </c>
      <c r="G8" s="77">
        <v>370</v>
      </c>
      <c r="H8" s="77">
        <v>650</v>
      </c>
      <c r="I8" s="77">
        <v>180</v>
      </c>
      <c r="J8" s="64">
        <f>G8+H8+I8</f>
        <v>1200</v>
      </c>
      <c r="K8" s="77">
        <f>+H8+G8+F8+I8</f>
        <v>11490</v>
      </c>
      <c r="L8" s="77">
        <f>K8/(1-$E$4)</f>
        <v>15320</v>
      </c>
      <c r="M8" s="78">
        <f t="shared" ref="M8:M10" si="0">IFERROR((L8-F8)/L8,0)</f>
        <v>0.3283289817232376</v>
      </c>
      <c r="N8" s="61">
        <f>+L8-F8</f>
        <v>5030</v>
      </c>
      <c r="O8" s="62">
        <f>IFERROR(P8/L8,"")</f>
        <v>0.25</v>
      </c>
      <c r="P8" s="63">
        <f>+L8-K8</f>
        <v>3830</v>
      </c>
      <c r="Q8" s="67">
        <f>+L8</f>
        <v>15320</v>
      </c>
      <c r="R8" t="s">
        <v>183</v>
      </c>
    </row>
    <row r="9" spans="1:18" x14ac:dyDescent="0.25">
      <c r="A9" s="75" t="s">
        <v>148</v>
      </c>
      <c r="B9" s="83" t="s">
        <v>58</v>
      </c>
      <c r="C9" s="52">
        <v>2000</v>
      </c>
      <c r="D9" t="s">
        <v>180</v>
      </c>
      <c r="E9" s="76" t="s">
        <v>55</v>
      </c>
      <c r="F9" s="77">
        <f>+'Datos Ejercicio'!E7</f>
        <v>11970</v>
      </c>
      <c r="G9" s="77">
        <v>370</v>
      </c>
      <c r="H9" s="77">
        <v>650</v>
      </c>
      <c r="I9" s="77">
        <v>180</v>
      </c>
      <c r="J9" s="64">
        <f>G9+H9+I9</f>
        <v>1200</v>
      </c>
      <c r="K9" s="77">
        <f t="shared" ref="K9:K10" si="1">+H9+G9+F9+I9</f>
        <v>13170</v>
      </c>
      <c r="L9" s="77">
        <f t="shared" ref="L9:L10" si="2">K9/(1-$E$4)</f>
        <v>17560</v>
      </c>
      <c r="M9" s="78">
        <f t="shared" si="0"/>
        <v>0.31833712984054668</v>
      </c>
      <c r="N9" s="61">
        <f t="shared" ref="N9:N10" si="3">+L9-F9</f>
        <v>5590</v>
      </c>
      <c r="O9" s="62">
        <f>IFERROR(P9/L9,"")</f>
        <v>0.25</v>
      </c>
      <c r="P9" s="63">
        <f>+L9-K9</f>
        <v>4390</v>
      </c>
      <c r="Q9" s="67">
        <f>+L9</f>
        <v>17560</v>
      </c>
      <c r="R9" t="s">
        <v>183</v>
      </c>
    </row>
    <row r="10" spans="1:18" x14ac:dyDescent="0.25">
      <c r="A10" s="75" t="s">
        <v>147</v>
      </c>
      <c r="B10" s="83" t="s">
        <v>149</v>
      </c>
      <c r="C10" s="52">
        <v>240</v>
      </c>
      <c r="D10" t="s">
        <v>181</v>
      </c>
      <c r="E10" s="76" t="s">
        <v>55</v>
      </c>
      <c r="F10" s="77">
        <f>+'Datos Ejercicio'!E8</f>
        <v>39300</v>
      </c>
      <c r="G10" s="77">
        <v>370</v>
      </c>
      <c r="H10" s="77">
        <v>650</v>
      </c>
      <c r="I10" s="77">
        <v>180</v>
      </c>
      <c r="J10" s="64">
        <f>G10+H10+I10</f>
        <v>1200</v>
      </c>
      <c r="K10" s="77">
        <f t="shared" si="1"/>
        <v>40500</v>
      </c>
      <c r="L10" s="77">
        <f t="shared" si="2"/>
        <v>54000</v>
      </c>
      <c r="M10" s="78">
        <f t="shared" si="0"/>
        <v>0.2722222222222222</v>
      </c>
      <c r="N10" s="61">
        <f t="shared" si="3"/>
        <v>14700</v>
      </c>
      <c r="O10" s="62">
        <f>IFERROR(P10/L10,"")</f>
        <v>0.25</v>
      </c>
      <c r="P10" s="63">
        <f>+L10-K10</f>
        <v>13500</v>
      </c>
      <c r="Q10" s="67">
        <f>(L10*C10)/1000</f>
        <v>12960</v>
      </c>
      <c r="R10" t="s">
        <v>184</v>
      </c>
    </row>
    <row r="12" spans="1:18" x14ac:dyDescent="0.25">
      <c r="Q12" s="84"/>
    </row>
    <row r="14" spans="1:18" x14ac:dyDescent="0.25">
      <c r="J14" s="71"/>
    </row>
  </sheetData>
  <autoFilter ref="A7:N10" xr:uid="{584A8977-FF66-45E9-95B6-8E99294450E4}"/>
  <mergeCells count="1">
    <mergeCell ref="E4:F5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7639FB82-EEB3-4AB9-A5AD-5C3984EA494C}">
          <x14:formula1>
            <xm:f>Base!$A$2:$A$4</xm:f>
          </x14:formula1>
          <xm:sqref>C3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A9BF-5716-4EFC-8BF7-D8FB32B25496}">
  <dimension ref="B2:M26"/>
  <sheetViews>
    <sheetView showGridLines="0" workbookViewId="0">
      <selection activeCell="I32" sqref="I32"/>
    </sheetView>
  </sheetViews>
  <sheetFormatPr baseColWidth="10" defaultColWidth="11.42578125" defaultRowHeight="15" x14ac:dyDescent="0.25"/>
  <cols>
    <col min="1" max="1" width="11.42578125" style="1"/>
    <col min="2" max="2" width="15.85546875" style="1" bestFit="1" customWidth="1"/>
    <col min="3" max="4" width="18.28515625" style="1" bestFit="1" customWidth="1"/>
    <col min="5" max="5" width="7.85546875" style="1" bestFit="1" customWidth="1"/>
    <col min="6" max="6" width="3.28515625" style="1" customWidth="1"/>
    <col min="7" max="7" width="15.85546875" style="1" bestFit="1" customWidth="1"/>
    <col min="8" max="9" width="12.5703125" style="1" bestFit="1" customWidth="1"/>
    <col min="10" max="10" width="7.85546875" style="1" bestFit="1" customWidth="1"/>
    <col min="11" max="11" width="3.28515625" style="1" customWidth="1"/>
    <col min="12" max="12" width="14.85546875" style="1" bestFit="1" customWidth="1"/>
    <col min="13" max="13" width="23" style="1" bestFit="1" customWidth="1"/>
    <col min="14" max="16384" width="11.42578125" style="1"/>
  </cols>
  <sheetData>
    <row r="2" spans="2:13" ht="15" customHeight="1" x14ac:dyDescent="0.25">
      <c r="B2" s="134" t="s">
        <v>5</v>
      </c>
      <c r="C2" s="134"/>
      <c r="D2" s="134"/>
      <c r="E2" s="134"/>
      <c r="F2" s="134"/>
      <c r="G2" s="134"/>
      <c r="H2" s="134"/>
      <c r="I2" s="134"/>
      <c r="J2" s="134"/>
    </row>
    <row r="3" spans="2:13" x14ac:dyDescent="0.25">
      <c r="B3" s="134"/>
      <c r="C3" s="134"/>
      <c r="D3" s="134"/>
      <c r="E3" s="134"/>
      <c r="F3" s="134"/>
      <c r="G3" s="134"/>
      <c r="H3" s="134"/>
      <c r="I3" s="134"/>
      <c r="J3" s="134"/>
    </row>
    <row r="4" spans="2:13" ht="5.0999999999999996" customHeight="1" x14ac:dyDescent="0.25"/>
    <row r="5" spans="2:13" ht="5.0999999999999996" customHeight="1" x14ac:dyDescent="0.25"/>
    <row r="6" spans="2:13" x14ac:dyDescent="0.25">
      <c r="B6" s="13" t="s">
        <v>17</v>
      </c>
      <c r="H6" s="1" t="s">
        <v>4</v>
      </c>
      <c r="I6" s="54">
        <v>4200</v>
      </c>
      <c r="L6" s="2" t="s">
        <v>14</v>
      </c>
    </row>
    <row r="7" spans="2:13" x14ac:dyDescent="0.25">
      <c r="C7" s="2" t="s">
        <v>1</v>
      </c>
      <c r="D7" s="2" t="s">
        <v>2</v>
      </c>
      <c r="E7" s="2" t="s">
        <v>3</v>
      </c>
      <c r="G7" s="2" t="s">
        <v>8</v>
      </c>
      <c r="H7" s="2" t="s">
        <v>1</v>
      </c>
      <c r="I7" s="2" t="s">
        <v>2</v>
      </c>
      <c r="J7" s="2" t="s">
        <v>3</v>
      </c>
      <c r="L7" s="132" t="s">
        <v>15</v>
      </c>
      <c r="M7" s="12" t="str">
        <f>" - ∆ Precio"</f>
        <v xml:space="preserve"> - ∆ Precio</v>
      </c>
    </row>
    <row r="8" spans="2:13" x14ac:dyDescent="0.25">
      <c r="B8" s="1" t="s">
        <v>0</v>
      </c>
      <c r="C8" s="53">
        <v>18000</v>
      </c>
      <c r="D8" s="53">
        <v>17500</v>
      </c>
      <c r="E8" s="9">
        <f>+D8/C8-1</f>
        <v>-2.777777777777779E-2</v>
      </c>
      <c r="G8" s="1" t="s">
        <v>0</v>
      </c>
      <c r="H8" s="3">
        <f>+C8/$I$6</f>
        <v>4.2857142857142856</v>
      </c>
      <c r="I8" s="3">
        <f>+D8/$I$6</f>
        <v>4.166666666666667</v>
      </c>
      <c r="J8" s="4">
        <f>+I8/H8-1</f>
        <v>-2.7777777777777679E-2</v>
      </c>
      <c r="L8" s="133"/>
      <c r="M8" s="1" t="s">
        <v>13</v>
      </c>
    </row>
    <row r="9" spans="2:13" x14ac:dyDescent="0.25">
      <c r="B9" s="1" t="s">
        <v>6</v>
      </c>
      <c r="C9" s="54">
        <v>9790</v>
      </c>
      <c r="D9" s="54">
        <v>9790</v>
      </c>
      <c r="G9" s="1" t="s">
        <v>6</v>
      </c>
      <c r="H9" s="15">
        <f>C9/I6</f>
        <v>2.3309523809523811</v>
      </c>
      <c r="I9" s="3">
        <f>D9/I6</f>
        <v>2.3309523809523811</v>
      </c>
    </row>
    <row r="10" spans="2:13" x14ac:dyDescent="0.25">
      <c r="B10" s="1" t="s">
        <v>9</v>
      </c>
      <c r="C10" s="7">
        <f>+(C8-C9)/C8</f>
        <v>0.45611111111111113</v>
      </c>
      <c r="D10" s="5">
        <f>+(D8-D9)/D8</f>
        <v>0.44057142857142856</v>
      </c>
      <c r="G10" s="1" t="s">
        <v>9</v>
      </c>
      <c r="H10" s="11">
        <f>+(H8-H9)/H8</f>
        <v>0.45611111111111108</v>
      </c>
      <c r="I10" s="5">
        <f>+(I8-I9)/I8</f>
        <v>0.44057142857142856</v>
      </c>
      <c r="J10" s="4"/>
    </row>
    <row r="11" spans="2:13" x14ac:dyDescent="0.25">
      <c r="B11" s="1" t="s">
        <v>11</v>
      </c>
      <c r="D11" s="7">
        <f>(-(E8))/(C10+E8)</f>
        <v>6.4850843060959826E-2</v>
      </c>
    </row>
    <row r="12" spans="2:13" x14ac:dyDescent="0.25">
      <c r="B12" s="1" t="s">
        <v>10</v>
      </c>
      <c r="C12" s="14">
        <v>300000</v>
      </c>
      <c r="D12" s="6">
        <f>+C12*(1+D11)</f>
        <v>319455.25291828794</v>
      </c>
      <c r="G12" s="1" t="s">
        <v>10</v>
      </c>
      <c r="H12" s="6">
        <v>300000</v>
      </c>
      <c r="I12" s="6">
        <f>+H12*(1+D11)</f>
        <v>319455.25291828794</v>
      </c>
    </row>
    <row r="13" spans="2:13" x14ac:dyDescent="0.25">
      <c r="B13" s="1" t="s">
        <v>12</v>
      </c>
      <c r="C13" s="54">
        <f>+C12*(C8-C9)</f>
        <v>2463000000</v>
      </c>
      <c r="D13" s="54">
        <f>+D12*(D8-D9)</f>
        <v>2463000000</v>
      </c>
      <c r="G13" s="1" t="s">
        <v>12</v>
      </c>
      <c r="H13" s="10">
        <f>+H12*(H8-H9)</f>
        <v>586428.57142857136</v>
      </c>
      <c r="I13" s="10">
        <f>+I12*(I8-I9)</f>
        <v>586428.57142857148</v>
      </c>
    </row>
    <row r="16" spans="2:13" ht="15" customHeight="1" x14ac:dyDescent="0.25">
      <c r="B16" s="134" t="s">
        <v>16</v>
      </c>
      <c r="C16" s="134"/>
      <c r="D16" s="134"/>
      <c r="E16" s="134"/>
      <c r="F16" s="134"/>
      <c r="G16" s="134"/>
      <c r="H16" s="134"/>
      <c r="I16" s="134"/>
      <c r="J16" s="134"/>
    </row>
    <row r="17" spans="2:13" x14ac:dyDescent="0.25">
      <c r="B17" s="134"/>
      <c r="C17" s="134"/>
      <c r="D17" s="134"/>
      <c r="E17" s="134"/>
      <c r="F17" s="134"/>
      <c r="G17" s="134"/>
      <c r="H17" s="134"/>
      <c r="I17" s="134"/>
      <c r="J17" s="134"/>
    </row>
    <row r="18" spans="2:13" ht="5.0999999999999996" customHeight="1" x14ac:dyDescent="0.25"/>
    <row r="19" spans="2:13" x14ac:dyDescent="0.25">
      <c r="H19" s="1" t="s">
        <v>4</v>
      </c>
      <c r="I19" s="54">
        <v>4200</v>
      </c>
      <c r="L19" s="2" t="s">
        <v>14</v>
      </c>
    </row>
    <row r="20" spans="2:13" x14ac:dyDescent="0.25">
      <c r="B20" s="1" t="s">
        <v>7</v>
      </c>
      <c r="C20" s="2" t="s">
        <v>1</v>
      </c>
      <c r="D20" s="2" t="s">
        <v>2</v>
      </c>
      <c r="E20" s="2" t="s">
        <v>3</v>
      </c>
      <c r="G20" s="2" t="s">
        <v>8</v>
      </c>
      <c r="H20" s="2" t="s">
        <v>1</v>
      </c>
      <c r="I20" s="2" t="s">
        <v>2</v>
      </c>
      <c r="J20" s="2" t="s">
        <v>3</v>
      </c>
      <c r="L20" s="132" t="s">
        <v>15</v>
      </c>
      <c r="M20" s="12" t="str">
        <f>" - ∆ Precio"</f>
        <v xml:space="preserve"> - ∆ Precio</v>
      </c>
    </row>
    <row r="21" spans="2:13" x14ac:dyDescent="0.25">
      <c r="B21" s="1" t="s">
        <v>0</v>
      </c>
      <c r="C21" s="53">
        <v>18000</v>
      </c>
      <c r="D21" s="53">
        <v>18500</v>
      </c>
      <c r="E21" s="9">
        <f>+D21/C21-1</f>
        <v>2.7777777777777679E-2</v>
      </c>
      <c r="G21" s="1" t="s">
        <v>0</v>
      </c>
      <c r="H21" s="3">
        <f>+C21/$I$6</f>
        <v>4.2857142857142856</v>
      </c>
      <c r="I21" s="3">
        <f>+D21/$I$6</f>
        <v>4.4047619047619051</v>
      </c>
      <c r="J21" s="4">
        <f>+I21/H21-1</f>
        <v>2.7777777777777901E-2</v>
      </c>
      <c r="L21" s="133"/>
      <c r="M21" s="1" t="s">
        <v>13</v>
      </c>
    </row>
    <row r="22" spans="2:13" x14ac:dyDescent="0.25">
      <c r="B22" s="1" t="s">
        <v>6</v>
      </c>
      <c r="C22" s="54">
        <v>9790</v>
      </c>
      <c r="D22" s="54">
        <v>9790</v>
      </c>
      <c r="G22" s="1" t="s">
        <v>6</v>
      </c>
      <c r="H22" s="15">
        <f>C22/I19</f>
        <v>2.3309523809523811</v>
      </c>
      <c r="I22" s="3">
        <f>D22/I19</f>
        <v>2.3309523809523811</v>
      </c>
    </row>
    <row r="23" spans="2:13" x14ac:dyDescent="0.25">
      <c r="B23" s="1" t="s">
        <v>9</v>
      </c>
      <c r="C23" s="7">
        <f>+(C21-C22)/C21</f>
        <v>0.45611111111111113</v>
      </c>
      <c r="D23" s="5">
        <f>+(D21-D22)/D21</f>
        <v>0.47081081081081083</v>
      </c>
      <c r="G23" s="1" t="s">
        <v>9</v>
      </c>
      <c r="H23" s="11">
        <f>+(H21-H22)/H21</f>
        <v>0.45611111111111108</v>
      </c>
      <c r="I23" s="5">
        <f>+(I21-I22)/I21</f>
        <v>0.47081081081081083</v>
      </c>
      <c r="J23" s="4"/>
    </row>
    <row r="24" spans="2:13" x14ac:dyDescent="0.25">
      <c r="B24" s="1" t="s">
        <v>11</v>
      </c>
      <c r="D24" s="7">
        <f>(-(E21))/(C23+E21)</f>
        <v>-5.7405281285878108E-2</v>
      </c>
    </row>
    <row r="25" spans="2:13" x14ac:dyDescent="0.25">
      <c r="B25" s="1" t="s">
        <v>10</v>
      </c>
      <c r="C25" s="14">
        <v>300000</v>
      </c>
      <c r="D25" s="6">
        <f>+C25*(1+D24)</f>
        <v>282778.41561423655</v>
      </c>
      <c r="G25" s="1" t="s">
        <v>10</v>
      </c>
      <c r="H25" s="6">
        <v>300000</v>
      </c>
      <c r="I25" s="6">
        <f>+H25*(1+D24)</f>
        <v>282778.41561423655</v>
      </c>
    </row>
    <row r="26" spans="2:13" x14ac:dyDescent="0.25">
      <c r="B26" s="1" t="s">
        <v>12</v>
      </c>
      <c r="C26" s="8">
        <f>+C25*(C21-C22)</f>
        <v>2463000000</v>
      </c>
      <c r="D26" s="8">
        <f>+D25*(D21-D22)</f>
        <v>2463000000.0000005</v>
      </c>
      <c r="G26" s="1" t="s">
        <v>12</v>
      </c>
      <c r="H26" s="10">
        <f>+H25*(H21-H22)</f>
        <v>586428.57142857136</v>
      </c>
      <c r="I26" s="10">
        <f>+I25*(I21-I22)</f>
        <v>586428.57142857159</v>
      </c>
    </row>
  </sheetData>
  <mergeCells count="4">
    <mergeCell ref="L7:L8"/>
    <mergeCell ref="B16:J17"/>
    <mergeCell ref="L20:L21"/>
    <mergeCell ref="B2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ECC7E-6878-4EFB-8542-146EE70B4623}">
  <sheetPr>
    <tabColor theme="8"/>
  </sheetPr>
  <dimension ref="A2:O122"/>
  <sheetViews>
    <sheetView showGridLines="0" zoomScale="80" zoomScaleNormal="80" workbookViewId="0">
      <selection activeCell="G32" sqref="G32"/>
    </sheetView>
  </sheetViews>
  <sheetFormatPr baseColWidth="10" defaultColWidth="11.42578125" defaultRowHeight="15.75" x14ac:dyDescent="0.25"/>
  <cols>
    <col min="1" max="1" width="4.5703125" style="18" customWidth="1"/>
    <col min="2" max="2" width="27.5703125" style="18" bestFit="1" customWidth="1"/>
    <col min="3" max="3" width="20.5703125" style="18" bestFit="1" customWidth="1"/>
    <col min="4" max="4" width="8.5703125" style="18" customWidth="1"/>
    <col min="5" max="5" width="11.5703125" style="47" customWidth="1"/>
    <col min="6" max="6" width="10" style="18" bestFit="1" customWidth="1"/>
    <col min="7" max="7" width="19.5703125" style="18" customWidth="1"/>
    <col min="8" max="8" width="11" style="18" customWidth="1"/>
    <col min="9" max="9" width="12.42578125" style="18" customWidth="1"/>
    <col min="10" max="10" width="16" style="18" customWidth="1"/>
    <col min="11" max="11" width="19.85546875" style="17" bestFit="1" customWidth="1"/>
    <col min="12" max="12" width="26" style="17" customWidth="1"/>
    <col min="13" max="13" width="16.42578125" style="17" hidden="1" customWidth="1"/>
    <col min="14" max="14" width="16.7109375" style="17" hidden="1" customWidth="1"/>
    <col min="15" max="15" width="11.42578125" style="17" hidden="1" customWidth="1"/>
    <col min="16" max="16384" width="11.42578125" style="17"/>
  </cols>
  <sheetData>
    <row r="2" spans="1:14" ht="15.75" customHeight="1" x14ac:dyDescent="0.25">
      <c r="A2" s="135" t="s">
        <v>62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4" ht="15.75" customHeight="1" x14ac:dyDescent="0.25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4" ht="13.5" customHeight="1" x14ac:dyDescent="0.25">
      <c r="B4" s="19"/>
      <c r="C4" s="19"/>
      <c r="D4" s="19"/>
      <c r="E4" s="19"/>
      <c r="F4" s="19"/>
      <c r="G4" s="19"/>
      <c r="H4" s="19"/>
      <c r="I4" s="19"/>
      <c r="J4" s="19"/>
    </row>
    <row r="5" spans="1:14" ht="13.5" customHeight="1" x14ac:dyDescent="0.25">
      <c r="B5" s="20" t="s">
        <v>18</v>
      </c>
      <c r="C5" s="21">
        <f ca="1">+TODAY()</f>
        <v>45839</v>
      </c>
      <c r="D5" s="19"/>
      <c r="E5" s="19"/>
      <c r="F5" s="19"/>
      <c r="G5" s="19"/>
      <c r="H5" s="19"/>
      <c r="I5" s="19"/>
      <c r="J5" s="19"/>
    </row>
    <row r="6" spans="1:14" ht="13.5" customHeight="1" x14ac:dyDescent="0.25">
      <c r="B6" s="19"/>
      <c r="C6" s="19"/>
      <c r="D6" s="19"/>
      <c r="E6" s="19"/>
      <c r="F6" s="19"/>
      <c r="G6" s="19"/>
      <c r="H6" s="19"/>
      <c r="I6" s="19"/>
      <c r="J6" s="19"/>
    </row>
    <row r="7" spans="1:14" ht="20.25" x14ac:dyDescent="0.3">
      <c r="B7" s="22" t="s">
        <v>61</v>
      </c>
      <c r="E7" s="23"/>
      <c r="F7" s="24"/>
      <c r="I7" s="25"/>
      <c r="J7" s="25"/>
    </row>
    <row r="8" spans="1:14" ht="16.5" x14ac:dyDescent="0.25">
      <c r="B8" s="26" t="s">
        <v>63</v>
      </c>
      <c r="C8" s="27">
        <v>18532</v>
      </c>
      <c r="D8" s="136">
        <v>6</v>
      </c>
      <c r="E8" s="136"/>
      <c r="F8" s="24"/>
      <c r="G8" s="28"/>
      <c r="H8" s="25"/>
      <c r="I8" s="25"/>
      <c r="J8" s="25"/>
    </row>
    <row r="9" spans="1:14" ht="19.5" customHeight="1" x14ac:dyDescent="0.25">
      <c r="E9" s="23"/>
      <c r="F9" s="24"/>
      <c r="G9" s="28"/>
      <c r="H9" s="25"/>
      <c r="I9" s="25"/>
      <c r="J9" s="25"/>
    </row>
    <row r="10" spans="1:14" ht="34.700000000000003" customHeight="1" x14ac:dyDescent="0.25">
      <c r="B10" s="29" t="s">
        <v>19</v>
      </c>
      <c r="C10" s="29" t="s">
        <v>20</v>
      </c>
      <c r="D10" s="29" t="s">
        <v>21</v>
      </c>
      <c r="E10" s="30" t="s">
        <v>22</v>
      </c>
      <c r="F10" s="29" t="s">
        <v>23</v>
      </c>
      <c r="G10" s="31" t="s">
        <v>24</v>
      </c>
      <c r="H10" s="31" t="s">
        <v>25</v>
      </c>
      <c r="I10" s="31" t="s">
        <v>26</v>
      </c>
      <c r="J10" s="31" t="s">
        <v>27</v>
      </c>
      <c r="K10" s="31" t="s">
        <v>28</v>
      </c>
    </row>
    <row r="11" spans="1:14" ht="7.35" customHeight="1" x14ac:dyDescent="0.25">
      <c r="B11" s="33"/>
      <c r="C11" s="33"/>
      <c r="D11" s="33"/>
      <c r="E11" s="34"/>
      <c r="F11" s="35"/>
      <c r="G11" s="36"/>
      <c r="H11" s="37"/>
      <c r="I11" s="37"/>
      <c r="J11" s="38"/>
    </row>
    <row r="12" spans="1:14" x14ac:dyDescent="0.25">
      <c r="B12" s="137" t="s">
        <v>29</v>
      </c>
      <c r="C12" s="32" t="s">
        <v>30</v>
      </c>
      <c r="D12" s="40">
        <v>0.40499999999999997</v>
      </c>
      <c r="E12" s="41">
        <f>$D$8*D12</f>
        <v>2.4299999999999997</v>
      </c>
      <c r="F12" s="28">
        <v>38000</v>
      </c>
      <c r="G12" s="28">
        <f>+F12*E12</f>
        <v>92339.999999999985</v>
      </c>
      <c r="H12" s="138">
        <f>SUM(G12:G14)</f>
        <v>135678</v>
      </c>
      <c r="I12" s="138">
        <f>H12/D8</f>
        <v>22613</v>
      </c>
      <c r="J12" s="138">
        <f>I12-C8</f>
        <v>4081</v>
      </c>
      <c r="K12" s="138" t="str">
        <f>+IF(J12&lt;0,"Mejor pavo entero","Mejor presa")</f>
        <v>Mejor presa</v>
      </c>
      <c r="N12" s="17" t="s">
        <v>31</v>
      </c>
    </row>
    <row r="13" spans="1:14" x14ac:dyDescent="0.25">
      <c r="B13" s="137"/>
      <c r="C13" s="32" t="s">
        <v>32</v>
      </c>
      <c r="D13" s="40">
        <v>0.43400000000000005</v>
      </c>
      <c r="E13" s="41">
        <f t="shared" ref="E13:E14" si="0">$D$8*D13</f>
        <v>2.6040000000000001</v>
      </c>
      <c r="F13" s="28">
        <v>12000</v>
      </c>
      <c r="G13" s="28">
        <f>+F13*E13</f>
        <v>31248</v>
      </c>
      <c r="H13" s="139"/>
      <c r="I13" s="139"/>
      <c r="J13" s="139"/>
      <c r="K13" s="139"/>
      <c r="M13" s="17" t="s">
        <v>33</v>
      </c>
      <c r="N13" s="42">
        <v>0.30499999999999999</v>
      </c>
    </row>
    <row r="14" spans="1:14" x14ac:dyDescent="0.25">
      <c r="B14" s="137"/>
      <c r="C14" s="32" t="s">
        <v>34</v>
      </c>
      <c r="D14" s="40">
        <v>0.155</v>
      </c>
      <c r="E14" s="41">
        <f t="shared" si="0"/>
        <v>0.92999999999999994</v>
      </c>
      <c r="F14" s="28">
        <v>13000</v>
      </c>
      <c r="G14" s="28">
        <f>+F14*E14</f>
        <v>12090</v>
      </c>
      <c r="H14" s="139"/>
      <c r="I14" s="139"/>
      <c r="J14" s="139"/>
      <c r="K14" s="139"/>
      <c r="M14" s="17" t="s">
        <v>35</v>
      </c>
      <c r="N14" s="42">
        <v>0.05</v>
      </c>
    </row>
    <row r="15" spans="1:14" x14ac:dyDescent="0.25">
      <c r="B15" s="39"/>
      <c r="C15" s="32"/>
      <c r="D15" s="40"/>
      <c r="E15" s="41"/>
      <c r="F15" s="28"/>
      <c r="G15" s="28"/>
      <c r="H15" s="38"/>
      <c r="I15" s="38"/>
      <c r="J15" s="38"/>
      <c r="M15" s="17" t="s">
        <v>36</v>
      </c>
      <c r="N15" s="42">
        <v>0.05</v>
      </c>
    </row>
    <row r="16" spans="1:14" ht="15.75" customHeight="1" x14ac:dyDescent="0.25">
      <c r="B16" s="140" t="s">
        <v>37</v>
      </c>
      <c r="C16" s="18" t="s">
        <v>30</v>
      </c>
      <c r="D16" s="43">
        <v>0.40499999999999997</v>
      </c>
      <c r="E16" s="41">
        <f>D16*$D$8</f>
        <v>2.4299999999999997</v>
      </c>
      <c r="F16" s="28">
        <v>38000</v>
      </c>
      <c r="G16" s="28">
        <f>+F16*E16</f>
        <v>92339.999999999985</v>
      </c>
      <c r="H16" s="138">
        <f>SUM(G16:G19)</f>
        <v>135144</v>
      </c>
      <c r="I16" s="138">
        <f>H16/D8</f>
        <v>22524</v>
      </c>
      <c r="J16" s="138">
        <f>I16-C8</f>
        <v>3992</v>
      </c>
      <c r="K16" s="138" t="str">
        <f>+IF(J16&lt;0,"Mejor pavo entero","Mejor presa")</f>
        <v>Mejor presa</v>
      </c>
      <c r="M16" s="17" t="s">
        <v>38</v>
      </c>
      <c r="N16" s="42">
        <v>0.13400000000000001</v>
      </c>
    </row>
    <row r="17" spans="2:14" x14ac:dyDescent="0.25">
      <c r="B17" s="140"/>
      <c r="C17" s="18" t="s">
        <v>32</v>
      </c>
      <c r="D17" s="43">
        <v>0.43400000000000005</v>
      </c>
      <c r="E17" s="41">
        <f t="shared" ref="E17:E19" si="1">D17*$D$8</f>
        <v>2.6040000000000001</v>
      </c>
      <c r="F17" s="28">
        <v>12000</v>
      </c>
      <c r="G17" s="28">
        <f>+F17*E17</f>
        <v>31248</v>
      </c>
      <c r="H17" s="139"/>
      <c r="I17" s="139"/>
      <c r="J17" s="139"/>
      <c r="K17" s="138"/>
      <c r="M17" s="17" t="s">
        <v>39</v>
      </c>
      <c r="N17" s="42">
        <v>0.2</v>
      </c>
    </row>
    <row r="18" spans="2:14" x14ac:dyDescent="0.25">
      <c r="B18" s="140"/>
      <c r="C18" s="18" t="s">
        <v>40</v>
      </c>
      <c r="D18" s="43">
        <v>6.5000000000000002E-2</v>
      </c>
      <c r="E18" s="41">
        <f t="shared" si="1"/>
        <v>0.39</v>
      </c>
      <c r="F18" s="28">
        <v>5400</v>
      </c>
      <c r="G18" s="28">
        <f>+F18*E18</f>
        <v>2106</v>
      </c>
      <c r="H18" s="139"/>
      <c r="I18" s="139"/>
      <c r="J18" s="139"/>
      <c r="K18" s="138"/>
      <c r="M18" s="17" t="s">
        <v>41</v>
      </c>
      <c r="N18" s="42">
        <v>0.1</v>
      </c>
    </row>
    <row r="19" spans="2:14" x14ac:dyDescent="0.25">
      <c r="B19" s="140"/>
      <c r="C19" s="18" t="s">
        <v>42</v>
      </c>
      <c r="D19" s="43">
        <v>0.09</v>
      </c>
      <c r="E19" s="41">
        <f t="shared" si="1"/>
        <v>0.54</v>
      </c>
      <c r="F19" s="28">
        <v>17500</v>
      </c>
      <c r="G19" s="28">
        <f>+F19*E19</f>
        <v>9450</v>
      </c>
      <c r="H19" s="139"/>
      <c r="I19" s="139"/>
      <c r="J19" s="139"/>
      <c r="K19" s="138"/>
      <c r="M19" s="17" t="s">
        <v>43</v>
      </c>
      <c r="N19" s="42">
        <v>0.09</v>
      </c>
    </row>
    <row r="20" spans="2:14" x14ac:dyDescent="0.25">
      <c r="B20" s="44"/>
      <c r="D20" s="43"/>
      <c r="E20" s="41"/>
      <c r="F20" s="28"/>
      <c r="G20" s="28"/>
      <c r="H20" s="38"/>
      <c r="I20" s="38"/>
      <c r="J20" s="38"/>
      <c r="M20" s="17" t="s">
        <v>40</v>
      </c>
      <c r="N20" s="42">
        <v>6.5000000000000002E-2</v>
      </c>
    </row>
    <row r="21" spans="2:14" x14ac:dyDescent="0.25">
      <c r="D21" s="43"/>
      <c r="E21" s="41"/>
      <c r="F21" s="28"/>
      <c r="G21" s="28"/>
      <c r="H21" s="25"/>
      <c r="I21" s="25"/>
      <c r="J21" s="25"/>
      <c r="L21" s="45"/>
    </row>
    <row r="22" spans="2:14" ht="15.75" customHeight="1" x14ac:dyDescent="0.25">
      <c r="B22" s="141" t="s">
        <v>44</v>
      </c>
      <c r="C22" s="18" t="s">
        <v>42</v>
      </c>
      <c r="D22" s="43">
        <v>0.09</v>
      </c>
      <c r="E22" s="41">
        <f>D22*$D$8</f>
        <v>0.54</v>
      </c>
      <c r="F22" s="28">
        <v>17500</v>
      </c>
      <c r="G22" s="28">
        <f t="shared" ref="G22:G27" si="2">+F22*E22</f>
        <v>9450</v>
      </c>
      <c r="H22" s="138">
        <f>SUM(G22:G27)</f>
        <v>151644</v>
      </c>
      <c r="I22" s="138">
        <f>H22/D8</f>
        <v>25274</v>
      </c>
      <c r="J22" s="138">
        <f>I22-C8</f>
        <v>6742</v>
      </c>
      <c r="K22" s="138" t="str">
        <f>+IF(J22&lt;0,"Mejor pavo entero","Mejor presa")</f>
        <v>Mejor presa</v>
      </c>
      <c r="L22" s="45"/>
    </row>
    <row r="23" spans="2:14" ht="15.75" customHeight="1" x14ac:dyDescent="0.25">
      <c r="B23" s="141"/>
      <c r="C23" s="18" t="s">
        <v>45</v>
      </c>
      <c r="D23" s="43">
        <v>0.2</v>
      </c>
      <c r="E23" s="41">
        <f t="shared" ref="E23:E27" si="3">D23*$D$8</f>
        <v>1.2000000000000002</v>
      </c>
      <c r="F23" s="28">
        <v>19000</v>
      </c>
      <c r="G23" s="28">
        <f t="shared" si="2"/>
        <v>22800.000000000004</v>
      </c>
      <c r="H23" s="139"/>
      <c r="I23" s="139"/>
      <c r="J23" s="138"/>
      <c r="K23" s="138"/>
      <c r="L23" s="45"/>
    </row>
    <row r="24" spans="2:14" ht="15.75" customHeight="1" x14ac:dyDescent="0.25">
      <c r="B24" s="141"/>
      <c r="C24" s="18" t="s">
        <v>38</v>
      </c>
      <c r="D24" s="43">
        <v>0.13400000000000001</v>
      </c>
      <c r="E24" s="41">
        <f t="shared" si="3"/>
        <v>0.80400000000000005</v>
      </c>
      <c r="F24" s="28">
        <v>27000</v>
      </c>
      <c r="G24" s="28">
        <f t="shared" si="2"/>
        <v>21708</v>
      </c>
      <c r="H24" s="139"/>
      <c r="I24" s="139"/>
      <c r="J24" s="138"/>
      <c r="K24" s="138"/>
      <c r="L24" s="45"/>
    </row>
    <row r="25" spans="2:14" ht="15.75" customHeight="1" x14ac:dyDescent="0.25">
      <c r="B25" s="141"/>
      <c r="C25" s="18" t="s">
        <v>41</v>
      </c>
      <c r="D25" s="43">
        <v>0.1</v>
      </c>
      <c r="E25" s="41">
        <f t="shared" si="3"/>
        <v>0.60000000000000009</v>
      </c>
      <c r="F25" s="28">
        <v>5400</v>
      </c>
      <c r="G25" s="28">
        <f t="shared" si="2"/>
        <v>3240.0000000000005</v>
      </c>
      <c r="H25" s="139"/>
      <c r="I25" s="139"/>
      <c r="J25" s="138"/>
      <c r="K25" s="138"/>
      <c r="L25" s="45"/>
    </row>
    <row r="26" spans="2:14" ht="15.75" customHeight="1" x14ac:dyDescent="0.25">
      <c r="B26" s="141"/>
      <c r="C26" s="18" t="s">
        <v>40</v>
      </c>
      <c r="D26" s="43">
        <v>6.5000000000000002E-2</v>
      </c>
      <c r="E26" s="41">
        <f t="shared" si="3"/>
        <v>0.39</v>
      </c>
      <c r="F26" s="28">
        <v>5400</v>
      </c>
      <c r="G26" s="28">
        <f t="shared" si="2"/>
        <v>2106</v>
      </c>
      <c r="H26" s="139"/>
      <c r="I26" s="139"/>
      <c r="J26" s="138"/>
      <c r="K26" s="138"/>
      <c r="L26" s="45"/>
    </row>
    <row r="27" spans="2:14" ht="15.75" customHeight="1" x14ac:dyDescent="0.25">
      <c r="B27" s="141"/>
      <c r="C27" s="18" t="s">
        <v>30</v>
      </c>
      <c r="D27" s="43">
        <v>0.40499999999999997</v>
      </c>
      <c r="E27" s="41">
        <f t="shared" si="3"/>
        <v>2.4299999999999997</v>
      </c>
      <c r="F27" s="28">
        <v>38000</v>
      </c>
      <c r="G27" s="28">
        <f t="shared" si="2"/>
        <v>92339.999999999985</v>
      </c>
      <c r="H27" s="139"/>
      <c r="I27" s="139"/>
      <c r="J27" s="138"/>
      <c r="K27" s="138"/>
      <c r="L27" s="45"/>
    </row>
    <row r="28" spans="2:14" ht="15.75" customHeight="1" x14ac:dyDescent="0.25">
      <c r="D28" s="43"/>
      <c r="E28" s="41"/>
      <c r="F28" s="28"/>
      <c r="G28" s="28"/>
      <c r="H28" s="46"/>
      <c r="I28" s="25"/>
      <c r="J28" s="25"/>
      <c r="L28" s="45"/>
    </row>
    <row r="29" spans="2:14" ht="15.75" customHeight="1" x14ac:dyDescent="0.25">
      <c r="E29" s="23"/>
      <c r="F29" s="24"/>
      <c r="G29" s="28"/>
      <c r="H29" s="25"/>
      <c r="I29" s="25"/>
      <c r="J29" s="25"/>
      <c r="L29" s="45"/>
    </row>
    <row r="30" spans="2:14" x14ac:dyDescent="0.25">
      <c r="E30" s="23"/>
      <c r="F30" s="24"/>
      <c r="G30" s="28"/>
      <c r="H30" s="25"/>
      <c r="I30" s="25"/>
      <c r="J30" s="25"/>
      <c r="L30" s="45"/>
    </row>
    <row r="31" spans="2:14" x14ac:dyDescent="0.25">
      <c r="E31" s="23"/>
      <c r="F31" s="24"/>
      <c r="G31" s="28"/>
      <c r="H31" s="25"/>
      <c r="I31" s="25"/>
      <c r="J31" s="25"/>
      <c r="L31" s="45"/>
    </row>
    <row r="32" spans="2:14" x14ac:dyDescent="0.25">
      <c r="E32" s="23"/>
      <c r="F32" s="24"/>
      <c r="G32" s="28"/>
      <c r="H32" s="25"/>
      <c r="I32" s="25"/>
      <c r="J32" s="25"/>
    </row>
    <row r="33" spans="5:10" x14ac:dyDescent="0.25">
      <c r="E33" s="23"/>
      <c r="F33" s="24"/>
      <c r="G33" s="28"/>
      <c r="H33" s="25"/>
      <c r="I33" s="25"/>
      <c r="J33" s="25"/>
    </row>
    <row r="34" spans="5:10" x14ac:dyDescent="0.25">
      <c r="E34" s="23"/>
      <c r="F34" s="24"/>
      <c r="G34" s="28"/>
      <c r="H34" s="25"/>
      <c r="I34" s="25"/>
      <c r="J34" s="25"/>
    </row>
    <row r="35" spans="5:10" x14ac:dyDescent="0.25">
      <c r="E35" s="23"/>
      <c r="F35" s="24"/>
      <c r="G35" s="28"/>
      <c r="H35" s="25"/>
      <c r="I35" s="25"/>
      <c r="J35" s="25"/>
    </row>
    <row r="36" spans="5:10" x14ac:dyDescent="0.25">
      <c r="E36" s="23"/>
      <c r="F36" s="24"/>
      <c r="G36" s="28"/>
      <c r="H36" s="25"/>
      <c r="I36" s="25"/>
      <c r="J36" s="25"/>
    </row>
    <row r="37" spans="5:10" x14ac:dyDescent="0.25">
      <c r="E37" s="23"/>
      <c r="F37" s="24"/>
      <c r="G37" s="28"/>
      <c r="H37" s="25"/>
      <c r="I37" s="25"/>
      <c r="J37" s="25"/>
    </row>
    <row r="38" spans="5:10" x14ac:dyDescent="0.25">
      <c r="E38" s="23"/>
      <c r="F38" s="24"/>
      <c r="G38" s="28"/>
      <c r="H38" s="25"/>
      <c r="I38" s="25"/>
      <c r="J38" s="25"/>
    </row>
    <row r="39" spans="5:10" x14ac:dyDescent="0.25">
      <c r="E39" s="23"/>
      <c r="F39" s="24"/>
      <c r="G39" s="28"/>
      <c r="H39" s="25"/>
      <c r="I39" s="25"/>
      <c r="J39" s="25"/>
    </row>
    <row r="40" spans="5:10" x14ac:dyDescent="0.25">
      <c r="E40" s="23"/>
      <c r="F40" s="24"/>
      <c r="G40" s="28"/>
      <c r="H40" s="25"/>
      <c r="I40" s="25"/>
      <c r="J40" s="25"/>
    </row>
    <row r="41" spans="5:10" x14ac:dyDescent="0.25">
      <c r="E41" s="23"/>
      <c r="F41" s="24"/>
      <c r="G41" s="28"/>
      <c r="H41" s="25"/>
      <c r="I41" s="25"/>
      <c r="J41" s="25"/>
    </row>
    <row r="42" spans="5:10" x14ac:dyDescent="0.25">
      <c r="E42" s="23"/>
      <c r="F42" s="24"/>
      <c r="G42" s="28"/>
      <c r="H42" s="25"/>
      <c r="I42" s="25"/>
      <c r="J42" s="25"/>
    </row>
    <row r="43" spans="5:10" x14ac:dyDescent="0.25">
      <c r="E43" s="23"/>
      <c r="F43" s="24"/>
      <c r="G43" s="28"/>
      <c r="H43" s="25"/>
      <c r="I43" s="25"/>
      <c r="J43" s="25"/>
    </row>
    <row r="44" spans="5:10" x14ac:dyDescent="0.25">
      <c r="E44" s="23"/>
      <c r="F44" s="24"/>
      <c r="G44" s="28"/>
      <c r="H44" s="25"/>
      <c r="I44" s="25"/>
      <c r="J44" s="25"/>
    </row>
    <row r="45" spans="5:10" x14ac:dyDescent="0.25">
      <c r="E45" s="23"/>
      <c r="F45" s="24"/>
      <c r="G45" s="28"/>
      <c r="H45" s="25"/>
      <c r="I45" s="25"/>
      <c r="J45" s="25"/>
    </row>
    <row r="46" spans="5:10" x14ac:dyDescent="0.25">
      <c r="E46" s="23"/>
      <c r="F46" s="24"/>
      <c r="G46" s="28"/>
      <c r="H46" s="25"/>
      <c r="I46" s="25"/>
      <c r="J46" s="25"/>
    </row>
    <row r="47" spans="5:10" x14ac:dyDescent="0.25">
      <c r="E47" s="23"/>
      <c r="F47" s="24"/>
      <c r="G47" s="28"/>
      <c r="H47" s="25"/>
      <c r="I47" s="25"/>
      <c r="J47" s="25"/>
    </row>
    <row r="48" spans="5:10" x14ac:dyDescent="0.25">
      <c r="E48" s="23"/>
      <c r="F48" s="24"/>
      <c r="G48" s="28"/>
      <c r="H48" s="25"/>
      <c r="I48" s="25"/>
      <c r="J48" s="25"/>
    </row>
    <row r="49" spans="5:10" x14ac:dyDescent="0.25">
      <c r="E49" s="23"/>
      <c r="F49" s="24"/>
      <c r="G49" s="28"/>
      <c r="H49" s="25"/>
      <c r="I49" s="25"/>
      <c r="J49" s="25"/>
    </row>
    <row r="50" spans="5:10" x14ac:dyDescent="0.25">
      <c r="E50" s="23"/>
      <c r="F50" s="24"/>
      <c r="G50" s="28"/>
      <c r="H50" s="25"/>
      <c r="I50" s="25"/>
      <c r="J50" s="25"/>
    </row>
    <row r="51" spans="5:10" x14ac:dyDescent="0.25">
      <c r="E51" s="23"/>
      <c r="F51" s="24"/>
      <c r="G51" s="28"/>
      <c r="H51" s="25"/>
      <c r="I51" s="25"/>
      <c r="J51" s="25"/>
    </row>
    <row r="52" spans="5:10" x14ac:dyDescent="0.25">
      <c r="E52" s="23"/>
      <c r="F52" s="24"/>
      <c r="G52" s="28"/>
      <c r="H52" s="25"/>
      <c r="I52" s="25"/>
      <c r="J52" s="25"/>
    </row>
    <row r="53" spans="5:10" x14ac:dyDescent="0.25">
      <c r="E53" s="23"/>
      <c r="F53" s="24"/>
      <c r="G53" s="28"/>
      <c r="H53" s="25"/>
      <c r="I53" s="25"/>
      <c r="J53" s="25"/>
    </row>
    <row r="54" spans="5:10" x14ac:dyDescent="0.25">
      <c r="E54" s="23"/>
      <c r="F54" s="24"/>
      <c r="G54" s="28"/>
      <c r="H54" s="25"/>
      <c r="I54" s="25"/>
      <c r="J54" s="25"/>
    </row>
    <row r="55" spans="5:10" x14ac:dyDescent="0.25">
      <c r="E55" s="23"/>
      <c r="F55" s="24"/>
      <c r="G55" s="28"/>
      <c r="H55" s="25"/>
      <c r="I55" s="25"/>
      <c r="J55" s="25"/>
    </row>
    <row r="56" spans="5:10" x14ac:dyDescent="0.25">
      <c r="E56" s="23"/>
      <c r="F56" s="24"/>
      <c r="G56" s="28"/>
      <c r="H56" s="25"/>
      <c r="I56" s="25"/>
      <c r="J56" s="25"/>
    </row>
    <row r="57" spans="5:10" x14ac:dyDescent="0.25">
      <c r="E57" s="23"/>
      <c r="F57" s="24"/>
      <c r="G57" s="28"/>
      <c r="H57" s="25"/>
      <c r="I57" s="25"/>
      <c r="J57" s="25"/>
    </row>
    <row r="58" spans="5:10" x14ac:dyDescent="0.25">
      <c r="E58" s="23"/>
      <c r="F58" s="24"/>
      <c r="G58" s="28"/>
      <c r="H58" s="25"/>
      <c r="I58" s="25"/>
      <c r="J58" s="25"/>
    </row>
    <row r="59" spans="5:10" x14ac:dyDescent="0.25">
      <c r="E59" s="23"/>
      <c r="F59" s="24"/>
      <c r="G59" s="28"/>
      <c r="H59" s="25"/>
      <c r="I59" s="25"/>
      <c r="J59" s="25"/>
    </row>
    <row r="60" spans="5:10" x14ac:dyDescent="0.25">
      <c r="E60" s="23"/>
      <c r="F60" s="24"/>
      <c r="G60" s="28"/>
      <c r="H60" s="25"/>
      <c r="I60" s="25"/>
      <c r="J60" s="25"/>
    </row>
    <row r="61" spans="5:10" x14ac:dyDescent="0.25">
      <c r="E61" s="23"/>
      <c r="F61" s="24"/>
      <c r="G61" s="28"/>
      <c r="H61" s="25"/>
      <c r="I61" s="25"/>
      <c r="J61" s="25"/>
    </row>
    <row r="62" spans="5:10" x14ac:dyDescent="0.25">
      <c r="E62" s="23"/>
      <c r="F62" s="24"/>
      <c r="G62" s="28"/>
      <c r="H62" s="25"/>
      <c r="I62" s="25"/>
      <c r="J62" s="25"/>
    </row>
    <row r="63" spans="5:10" x14ac:dyDescent="0.25">
      <c r="E63" s="23"/>
      <c r="F63" s="24"/>
      <c r="G63" s="28"/>
      <c r="H63" s="25"/>
      <c r="I63" s="25"/>
      <c r="J63" s="25"/>
    </row>
    <row r="64" spans="5:10" x14ac:dyDescent="0.25">
      <c r="E64" s="23"/>
      <c r="F64" s="24"/>
      <c r="G64" s="28"/>
      <c r="H64" s="25"/>
      <c r="I64" s="25"/>
      <c r="J64" s="25"/>
    </row>
    <row r="65" spans="5:10" x14ac:dyDescent="0.25">
      <c r="E65" s="23"/>
      <c r="F65" s="24"/>
      <c r="G65" s="28"/>
      <c r="H65" s="25"/>
      <c r="I65" s="25"/>
      <c r="J65" s="25"/>
    </row>
    <row r="66" spans="5:10" x14ac:dyDescent="0.25">
      <c r="E66" s="23"/>
      <c r="F66" s="24"/>
      <c r="G66" s="28"/>
      <c r="H66" s="25"/>
      <c r="I66" s="25"/>
      <c r="J66" s="25"/>
    </row>
    <row r="67" spans="5:10" x14ac:dyDescent="0.25">
      <c r="E67" s="23"/>
      <c r="F67" s="24"/>
      <c r="G67" s="28"/>
      <c r="H67" s="25"/>
      <c r="I67" s="25"/>
      <c r="J67" s="25"/>
    </row>
    <row r="68" spans="5:10" x14ac:dyDescent="0.25">
      <c r="E68" s="23"/>
      <c r="F68" s="24"/>
      <c r="G68" s="28"/>
      <c r="H68" s="25"/>
      <c r="I68" s="25"/>
      <c r="J68" s="25"/>
    </row>
    <row r="69" spans="5:10" x14ac:dyDescent="0.25">
      <c r="E69" s="23"/>
      <c r="F69" s="24"/>
      <c r="G69" s="28"/>
      <c r="H69" s="25"/>
      <c r="I69" s="25"/>
      <c r="J69" s="25"/>
    </row>
    <row r="70" spans="5:10" x14ac:dyDescent="0.25">
      <c r="E70" s="23"/>
      <c r="F70" s="24"/>
      <c r="G70" s="28"/>
      <c r="H70" s="25"/>
      <c r="I70" s="25"/>
      <c r="J70" s="25"/>
    </row>
    <row r="71" spans="5:10" x14ac:dyDescent="0.25">
      <c r="E71" s="23"/>
      <c r="F71" s="24"/>
      <c r="G71" s="28"/>
      <c r="H71" s="25"/>
      <c r="I71" s="25"/>
      <c r="J71" s="25"/>
    </row>
    <row r="72" spans="5:10" x14ac:dyDescent="0.25">
      <c r="E72" s="23"/>
      <c r="F72" s="24"/>
      <c r="G72" s="28"/>
      <c r="H72" s="25"/>
      <c r="I72" s="25"/>
      <c r="J72" s="25"/>
    </row>
    <row r="73" spans="5:10" x14ac:dyDescent="0.25">
      <c r="E73" s="23"/>
      <c r="F73" s="24"/>
      <c r="G73" s="28"/>
      <c r="H73" s="25"/>
      <c r="I73" s="25"/>
      <c r="J73" s="25"/>
    </row>
    <row r="74" spans="5:10" x14ac:dyDescent="0.25">
      <c r="E74" s="23"/>
      <c r="F74" s="24"/>
      <c r="G74" s="28"/>
      <c r="H74" s="25"/>
      <c r="I74" s="25"/>
      <c r="J74" s="25"/>
    </row>
    <row r="75" spans="5:10" x14ac:dyDescent="0.25">
      <c r="E75" s="23"/>
      <c r="F75" s="24"/>
      <c r="G75" s="28"/>
      <c r="H75" s="25"/>
      <c r="I75" s="25"/>
      <c r="J75" s="25"/>
    </row>
    <row r="76" spans="5:10" x14ac:dyDescent="0.25">
      <c r="E76" s="23"/>
      <c r="F76" s="24"/>
      <c r="G76" s="28"/>
      <c r="H76" s="25"/>
      <c r="I76" s="25"/>
      <c r="J76" s="25"/>
    </row>
    <row r="77" spans="5:10" x14ac:dyDescent="0.25">
      <c r="E77" s="23"/>
      <c r="F77" s="24"/>
      <c r="G77" s="28"/>
      <c r="H77" s="25"/>
      <c r="I77" s="25"/>
      <c r="J77" s="25"/>
    </row>
    <row r="78" spans="5:10" x14ac:dyDescent="0.25">
      <c r="E78" s="23"/>
      <c r="F78" s="24"/>
      <c r="G78" s="28"/>
      <c r="H78" s="25"/>
      <c r="I78" s="25"/>
      <c r="J78" s="25"/>
    </row>
    <row r="79" spans="5:10" x14ac:dyDescent="0.25">
      <c r="E79" s="23"/>
      <c r="F79" s="24"/>
      <c r="G79" s="28"/>
      <c r="H79" s="25"/>
      <c r="I79" s="25"/>
      <c r="J79" s="25"/>
    </row>
    <row r="80" spans="5:10" x14ac:dyDescent="0.25">
      <c r="E80" s="23"/>
      <c r="F80" s="24"/>
      <c r="G80" s="28"/>
      <c r="H80" s="25"/>
      <c r="I80" s="25"/>
      <c r="J80" s="25"/>
    </row>
    <row r="81" spans="5:10" x14ac:dyDescent="0.25">
      <c r="E81" s="23"/>
      <c r="F81" s="24"/>
      <c r="G81" s="28"/>
      <c r="H81" s="25"/>
      <c r="I81" s="25"/>
      <c r="J81" s="25"/>
    </row>
    <row r="82" spans="5:10" x14ac:dyDescent="0.25">
      <c r="E82" s="23"/>
      <c r="F82" s="24"/>
      <c r="G82" s="28"/>
      <c r="H82" s="25"/>
      <c r="I82" s="25"/>
      <c r="J82" s="25"/>
    </row>
    <row r="83" spans="5:10" x14ac:dyDescent="0.25">
      <c r="E83" s="23"/>
      <c r="F83" s="24"/>
      <c r="G83" s="28"/>
      <c r="H83" s="25"/>
      <c r="I83" s="25"/>
      <c r="J83" s="25"/>
    </row>
    <row r="84" spans="5:10" x14ac:dyDescent="0.25">
      <c r="E84" s="23"/>
      <c r="F84" s="24"/>
      <c r="G84" s="28"/>
      <c r="H84" s="25"/>
      <c r="I84" s="25"/>
      <c r="J84" s="25"/>
    </row>
    <row r="85" spans="5:10" x14ac:dyDescent="0.25">
      <c r="E85" s="23"/>
      <c r="F85" s="24"/>
      <c r="G85" s="28"/>
      <c r="H85" s="25"/>
      <c r="I85" s="25"/>
      <c r="J85" s="25"/>
    </row>
    <row r="86" spans="5:10" x14ac:dyDescent="0.25">
      <c r="E86" s="23"/>
      <c r="F86" s="24"/>
      <c r="G86" s="28"/>
      <c r="H86" s="25"/>
      <c r="I86" s="25"/>
      <c r="J86" s="25"/>
    </row>
    <row r="87" spans="5:10" x14ac:dyDescent="0.25">
      <c r="E87" s="23"/>
      <c r="F87" s="24"/>
      <c r="G87" s="28"/>
      <c r="H87" s="25"/>
      <c r="I87" s="25"/>
      <c r="J87" s="25"/>
    </row>
    <row r="88" spans="5:10" x14ac:dyDescent="0.25">
      <c r="E88" s="23"/>
      <c r="F88" s="24"/>
      <c r="G88" s="28"/>
      <c r="H88" s="25"/>
      <c r="I88" s="25"/>
      <c r="J88" s="25"/>
    </row>
    <row r="89" spans="5:10" x14ac:dyDescent="0.25">
      <c r="E89" s="23"/>
      <c r="F89" s="24"/>
      <c r="G89" s="28"/>
      <c r="H89" s="25"/>
      <c r="I89" s="25"/>
      <c r="J89" s="25"/>
    </row>
    <row r="90" spans="5:10" x14ac:dyDescent="0.25">
      <c r="E90" s="23"/>
      <c r="F90" s="24"/>
      <c r="G90" s="28"/>
      <c r="H90" s="25"/>
      <c r="I90" s="25"/>
      <c r="J90" s="25"/>
    </row>
    <row r="91" spans="5:10" x14ac:dyDescent="0.25">
      <c r="E91" s="23"/>
      <c r="F91" s="24"/>
      <c r="G91" s="28"/>
      <c r="H91" s="25"/>
      <c r="I91" s="25"/>
      <c r="J91" s="25"/>
    </row>
    <row r="92" spans="5:10" x14ac:dyDescent="0.25">
      <c r="E92" s="23"/>
      <c r="F92" s="24"/>
      <c r="G92" s="28"/>
      <c r="H92" s="25"/>
      <c r="I92" s="25"/>
      <c r="J92" s="25"/>
    </row>
    <row r="93" spans="5:10" x14ac:dyDescent="0.25">
      <c r="E93" s="23"/>
      <c r="F93" s="24"/>
      <c r="G93" s="28"/>
      <c r="H93" s="25"/>
      <c r="I93" s="25"/>
      <c r="J93" s="25"/>
    </row>
    <row r="94" spans="5:10" x14ac:dyDescent="0.25">
      <c r="E94" s="23"/>
      <c r="F94" s="24"/>
      <c r="G94" s="28"/>
      <c r="H94" s="25"/>
      <c r="I94" s="25"/>
      <c r="J94" s="25"/>
    </row>
    <row r="95" spans="5:10" x14ac:dyDescent="0.25">
      <c r="E95" s="23"/>
      <c r="F95" s="24"/>
      <c r="G95" s="28"/>
      <c r="H95" s="25"/>
      <c r="I95" s="25"/>
      <c r="J95" s="25"/>
    </row>
    <row r="96" spans="5:10" x14ac:dyDescent="0.25">
      <c r="E96" s="23"/>
      <c r="F96" s="24"/>
      <c r="G96" s="28"/>
      <c r="H96" s="25"/>
      <c r="I96" s="25"/>
      <c r="J96" s="25"/>
    </row>
    <row r="97" spans="5:10" x14ac:dyDescent="0.25">
      <c r="E97" s="23"/>
      <c r="F97" s="24"/>
      <c r="G97" s="28"/>
      <c r="H97" s="25"/>
      <c r="I97" s="25"/>
      <c r="J97" s="25"/>
    </row>
    <row r="98" spans="5:10" x14ac:dyDescent="0.25">
      <c r="E98" s="23"/>
      <c r="F98" s="24"/>
      <c r="G98" s="28"/>
      <c r="H98" s="25"/>
      <c r="I98" s="25"/>
      <c r="J98" s="25"/>
    </row>
    <row r="99" spans="5:10" x14ac:dyDescent="0.25">
      <c r="E99" s="23"/>
      <c r="F99" s="24"/>
      <c r="G99" s="28"/>
      <c r="H99" s="25"/>
      <c r="I99" s="25"/>
      <c r="J99" s="25"/>
    </row>
    <row r="100" spans="5:10" x14ac:dyDescent="0.25">
      <c r="E100" s="23"/>
      <c r="F100" s="24"/>
      <c r="G100" s="28"/>
      <c r="H100" s="25"/>
      <c r="I100" s="25"/>
      <c r="J100" s="25"/>
    </row>
    <row r="101" spans="5:10" x14ac:dyDescent="0.25">
      <c r="E101" s="23"/>
      <c r="F101" s="24"/>
      <c r="G101" s="28"/>
      <c r="H101" s="25"/>
      <c r="I101" s="25"/>
      <c r="J101" s="25"/>
    </row>
    <row r="102" spans="5:10" x14ac:dyDescent="0.25">
      <c r="E102" s="23"/>
      <c r="F102" s="24"/>
      <c r="G102" s="28"/>
      <c r="H102" s="25"/>
      <c r="I102" s="25"/>
      <c r="J102" s="25"/>
    </row>
    <row r="103" spans="5:10" x14ac:dyDescent="0.25">
      <c r="E103" s="23"/>
      <c r="F103" s="24"/>
      <c r="G103" s="28"/>
      <c r="H103" s="25"/>
      <c r="I103" s="25"/>
      <c r="J103" s="25"/>
    </row>
    <row r="104" spans="5:10" x14ac:dyDescent="0.25">
      <c r="E104" s="23"/>
      <c r="F104" s="24"/>
      <c r="G104" s="28"/>
      <c r="H104" s="25"/>
      <c r="I104" s="25"/>
      <c r="J104" s="25"/>
    </row>
    <row r="105" spans="5:10" x14ac:dyDescent="0.25">
      <c r="E105" s="23"/>
      <c r="F105" s="24"/>
      <c r="G105" s="28"/>
      <c r="H105" s="25"/>
      <c r="I105" s="25"/>
      <c r="J105" s="25"/>
    </row>
    <row r="106" spans="5:10" x14ac:dyDescent="0.25">
      <c r="E106" s="23"/>
      <c r="F106" s="24"/>
      <c r="G106" s="28"/>
      <c r="H106" s="25"/>
      <c r="I106" s="25"/>
      <c r="J106" s="25"/>
    </row>
    <row r="107" spans="5:10" x14ac:dyDescent="0.25">
      <c r="E107" s="23"/>
      <c r="F107" s="24"/>
      <c r="G107" s="28"/>
      <c r="H107" s="25"/>
      <c r="I107" s="25"/>
      <c r="J107" s="25"/>
    </row>
    <row r="108" spans="5:10" x14ac:dyDescent="0.25">
      <c r="E108" s="23"/>
      <c r="F108" s="24"/>
      <c r="G108" s="28"/>
      <c r="H108" s="25"/>
      <c r="I108" s="25"/>
      <c r="J108" s="25"/>
    </row>
    <row r="109" spans="5:10" x14ac:dyDescent="0.25">
      <c r="E109" s="23"/>
      <c r="F109" s="24"/>
      <c r="G109" s="28"/>
      <c r="H109" s="25"/>
      <c r="I109" s="25"/>
      <c r="J109" s="25"/>
    </row>
    <row r="110" spans="5:10" x14ac:dyDescent="0.25">
      <c r="E110" s="23"/>
      <c r="F110" s="24"/>
      <c r="G110" s="28"/>
      <c r="H110" s="25"/>
      <c r="I110" s="25"/>
      <c r="J110" s="25"/>
    </row>
    <row r="111" spans="5:10" x14ac:dyDescent="0.25">
      <c r="E111" s="23"/>
      <c r="F111" s="24"/>
      <c r="G111" s="28"/>
      <c r="H111" s="25"/>
      <c r="I111" s="25"/>
      <c r="J111" s="25"/>
    </row>
    <row r="112" spans="5:10" x14ac:dyDescent="0.25">
      <c r="E112" s="23"/>
      <c r="F112" s="24"/>
      <c r="G112" s="28"/>
      <c r="H112" s="25"/>
      <c r="I112" s="25"/>
      <c r="J112" s="25"/>
    </row>
    <row r="113" spans="5:10" x14ac:dyDescent="0.25">
      <c r="E113" s="23"/>
      <c r="F113" s="24"/>
      <c r="G113" s="28"/>
      <c r="H113" s="25"/>
      <c r="I113" s="25"/>
      <c r="J113" s="25"/>
    </row>
    <row r="114" spans="5:10" x14ac:dyDescent="0.25">
      <c r="E114" s="23"/>
      <c r="F114" s="24"/>
      <c r="G114" s="28"/>
      <c r="H114" s="25"/>
      <c r="I114" s="25"/>
      <c r="J114" s="25"/>
    </row>
    <row r="115" spans="5:10" x14ac:dyDescent="0.25">
      <c r="E115" s="23"/>
      <c r="F115" s="24"/>
      <c r="G115" s="28"/>
      <c r="H115" s="25"/>
      <c r="I115" s="25"/>
      <c r="J115" s="25"/>
    </row>
    <row r="116" spans="5:10" x14ac:dyDescent="0.25">
      <c r="E116" s="23"/>
      <c r="F116" s="24"/>
      <c r="G116" s="28"/>
      <c r="H116" s="25"/>
      <c r="I116" s="25"/>
      <c r="J116" s="25"/>
    </row>
    <row r="117" spans="5:10" x14ac:dyDescent="0.25">
      <c r="E117" s="23"/>
      <c r="F117" s="24"/>
      <c r="G117" s="28"/>
      <c r="H117" s="25"/>
      <c r="I117" s="25"/>
      <c r="J117" s="25"/>
    </row>
    <row r="118" spans="5:10" x14ac:dyDescent="0.25">
      <c r="E118" s="23"/>
      <c r="F118" s="24"/>
      <c r="G118" s="28"/>
      <c r="H118" s="25"/>
      <c r="I118" s="25"/>
      <c r="J118" s="25"/>
    </row>
    <row r="119" spans="5:10" x14ac:dyDescent="0.25">
      <c r="E119" s="23"/>
      <c r="F119" s="24"/>
      <c r="G119" s="28"/>
      <c r="H119" s="25"/>
      <c r="I119" s="25"/>
      <c r="J119" s="25"/>
    </row>
    <row r="120" spans="5:10" x14ac:dyDescent="0.25">
      <c r="E120" s="23"/>
      <c r="F120" s="24"/>
      <c r="G120" s="28"/>
      <c r="H120" s="25"/>
      <c r="I120" s="25"/>
      <c r="J120" s="25"/>
    </row>
    <row r="121" spans="5:10" x14ac:dyDescent="0.25">
      <c r="E121" s="23"/>
      <c r="F121" s="24"/>
      <c r="G121" s="28"/>
      <c r="H121" s="25"/>
      <c r="I121" s="25"/>
      <c r="J121" s="25"/>
    </row>
    <row r="122" spans="5:10" x14ac:dyDescent="0.25">
      <c r="E122" s="23"/>
      <c r="F122" s="24"/>
      <c r="G122" s="28"/>
      <c r="H122" s="25"/>
      <c r="I122" s="25"/>
      <c r="J122" s="25"/>
    </row>
  </sheetData>
  <mergeCells count="17">
    <mergeCell ref="B22:B27"/>
    <mergeCell ref="H22:H27"/>
    <mergeCell ref="I22:I27"/>
    <mergeCell ref="J22:J27"/>
    <mergeCell ref="K22:K27"/>
    <mergeCell ref="B16:B19"/>
    <mergeCell ref="H16:H19"/>
    <mergeCell ref="I16:I19"/>
    <mergeCell ref="J16:J19"/>
    <mergeCell ref="K16:K19"/>
    <mergeCell ref="A2:K3"/>
    <mergeCell ref="D8:E8"/>
    <mergeCell ref="B12:B14"/>
    <mergeCell ref="H12:H14"/>
    <mergeCell ref="I12:I14"/>
    <mergeCell ref="J12:J14"/>
    <mergeCell ref="K12:K14"/>
  </mergeCells>
  <pageMargins left="0.31496062992125984" right="0.31496062992125984" top="0.74803149606299213" bottom="0.74803149606299213" header="0.31496062992125984" footer="0.31496062992125984"/>
  <pageSetup paperSize="9" scale="8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DC48-4033-4BD4-ABFE-C904EC555E09}">
  <dimension ref="B2:L29"/>
  <sheetViews>
    <sheetView showGridLines="0" topLeftCell="A8" workbookViewId="0">
      <selection activeCell="B2" sqref="B2"/>
    </sheetView>
  </sheetViews>
  <sheetFormatPr baseColWidth="10" defaultRowHeight="15" x14ac:dyDescent="0.25"/>
  <cols>
    <col min="2" max="2" width="22.42578125" bestFit="1" customWidth="1"/>
    <col min="3" max="3" width="18.42578125" customWidth="1"/>
    <col min="4" max="4" width="22.140625" bestFit="1" customWidth="1"/>
    <col min="5" max="5" width="19.5703125" bestFit="1" customWidth="1"/>
    <col min="6" max="6" width="18.28515625" bestFit="1" customWidth="1"/>
    <col min="7" max="7" width="15.140625" bestFit="1" customWidth="1"/>
    <col min="8" max="8" width="20.5703125" bestFit="1" customWidth="1"/>
    <col min="9" max="9" width="16.140625" customWidth="1"/>
    <col min="10" max="10" width="22.28515625" customWidth="1"/>
  </cols>
  <sheetData>
    <row r="2" spans="2:12" ht="21" x14ac:dyDescent="0.35">
      <c r="B2" s="57" t="s">
        <v>328</v>
      </c>
    </row>
    <row r="3" spans="2:12" ht="61.5" customHeight="1" x14ac:dyDescent="0.25">
      <c r="B3" s="143" t="s">
        <v>279</v>
      </c>
      <c r="C3" s="143"/>
      <c r="D3" s="143"/>
      <c r="E3" s="143"/>
      <c r="F3" s="143"/>
      <c r="G3" s="143"/>
      <c r="H3" s="143"/>
      <c r="I3" s="143"/>
      <c r="J3" s="143"/>
      <c r="K3" s="143"/>
    </row>
    <row r="4" spans="2:12" ht="12.75" customHeight="1" x14ac:dyDescent="0.25"/>
    <row r="5" spans="2:12" ht="12.75" customHeight="1" x14ac:dyDescent="0.25">
      <c r="B5" s="142" t="s">
        <v>282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2:12" ht="12.75" customHeight="1" x14ac:dyDescent="0.25">
      <c r="B6" s="142" t="s">
        <v>283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2:12" x14ac:dyDescent="0.25">
      <c r="B7" s="142" t="s">
        <v>284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2:12" ht="51" customHeight="1" x14ac:dyDescent="0.25">
      <c r="B8" s="134" t="s">
        <v>285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</row>
    <row r="9" spans="2:12" x14ac:dyDescent="0.25">
      <c r="B9" s="142" t="s">
        <v>286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4" spans="2:12" x14ac:dyDescent="0.25">
      <c r="B14" s="107" t="s">
        <v>280</v>
      </c>
      <c r="C14" s="110" t="s">
        <v>287</v>
      </c>
      <c r="D14" s="110" t="s">
        <v>288</v>
      </c>
      <c r="E14" s="110" t="s">
        <v>290</v>
      </c>
      <c r="F14" s="110" t="s">
        <v>291</v>
      </c>
      <c r="G14" s="110" t="s">
        <v>289</v>
      </c>
      <c r="H14" s="110" t="s">
        <v>281</v>
      </c>
      <c r="I14" s="110" t="s">
        <v>293</v>
      </c>
    </row>
    <row r="15" spans="2:12" x14ac:dyDescent="0.25">
      <c r="B15" s="108" t="s">
        <v>99</v>
      </c>
      <c r="C15" s="109">
        <v>4</v>
      </c>
      <c r="D15" s="109">
        <v>5</v>
      </c>
      <c r="E15" s="109">
        <v>3</v>
      </c>
      <c r="F15" s="109">
        <v>4</v>
      </c>
      <c r="G15" s="109">
        <v>5</v>
      </c>
      <c r="H15" s="109">
        <f>SUM(C15:G15)</f>
        <v>21</v>
      </c>
      <c r="I15" s="114">
        <f>(4*0.3)+(5*0.25)+(3*0.15)+(4*0.15)+(5*0.15)</f>
        <v>4.25</v>
      </c>
      <c r="J15" t="s">
        <v>294</v>
      </c>
      <c r="K15" t="s">
        <v>297</v>
      </c>
    </row>
    <row r="16" spans="2:12" x14ac:dyDescent="0.25">
      <c r="B16" s="108" t="s">
        <v>104</v>
      </c>
      <c r="C16" s="109">
        <v>3</v>
      </c>
      <c r="D16" s="109">
        <v>2</v>
      </c>
      <c r="E16" s="109">
        <v>4</v>
      </c>
      <c r="F16" s="109">
        <v>3</v>
      </c>
      <c r="G16" s="109">
        <v>4</v>
      </c>
      <c r="H16" s="109">
        <f t="shared" ref="H16:H18" si="0">SUM(C16:G16)</f>
        <v>16</v>
      </c>
      <c r="I16" s="109">
        <f>(3*0.3)+(2*0.25)+(4*0.15)+(3*0.15)+(4*0.15)</f>
        <v>3.0500000000000003</v>
      </c>
      <c r="J16" t="s">
        <v>295</v>
      </c>
      <c r="K16" t="s">
        <v>298</v>
      </c>
    </row>
    <row r="17" spans="2:11" x14ac:dyDescent="0.25">
      <c r="B17" s="108" t="s">
        <v>109</v>
      </c>
      <c r="C17" s="109">
        <v>3</v>
      </c>
      <c r="D17" s="109">
        <v>4</v>
      </c>
      <c r="E17" s="109">
        <v>5</v>
      </c>
      <c r="F17" s="109">
        <v>5</v>
      </c>
      <c r="G17" s="109">
        <v>4</v>
      </c>
      <c r="H17" s="109">
        <f t="shared" si="0"/>
        <v>21</v>
      </c>
      <c r="I17" s="114">
        <f>(3*0.3)+(4*0.25)+(5*0.15)+(5*0.15)+(4*0.15)</f>
        <v>4</v>
      </c>
      <c r="J17" t="s">
        <v>294</v>
      </c>
      <c r="K17" t="s">
        <v>299</v>
      </c>
    </row>
    <row r="18" spans="2:11" x14ac:dyDescent="0.25">
      <c r="B18" s="108" t="s">
        <v>114</v>
      </c>
      <c r="C18" s="109">
        <v>4</v>
      </c>
      <c r="D18" s="109">
        <v>2</v>
      </c>
      <c r="E18" s="109">
        <v>2</v>
      </c>
      <c r="F18" s="109">
        <v>2</v>
      </c>
      <c r="G18" s="109">
        <v>5</v>
      </c>
      <c r="H18" s="109">
        <f t="shared" si="0"/>
        <v>15</v>
      </c>
      <c r="I18" s="109">
        <f>(4*0.3)+(2*0.25)+(2*0.15)+(2*0.15)+(5*0.15)</f>
        <v>3.05</v>
      </c>
      <c r="J18" t="s">
        <v>296</v>
      </c>
      <c r="K18" t="s">
        <v>300</v>
      </c>
    </row>
    <row r="23" spans="2:11" ht="30" x14ac:dyDescent="0.25">
      <c r="B23" s="107" t="s">
        <v>66</v>
      </c>
      <c r="C23" s="107" t="s">
        <v>64</v>
      </c>
      <c r="D23" s="107" t="s">
        <v>153</v>
      </c>
      <c r="E23" s="107" t="s">
        <v>154</v>
      </c>
      <c r="F23" s="144" t="s">
        <v>155</v>
      </c>
      <c r="G23" s="145"/>
      <c r="H23" s="110" t="s">
        <v>301</v>
      </c>
      <c r="I23" s="116" t="s">
        <v>306</v>
      </c>
      <c r="J23" s="116" t="s">
        <v>308</v>
      </c>
    </row>
    <row r="24" spans="2:11" ht="90" customHeight="1" x14ac:dyDescent="0.25">
      <c r="B24" s="111" t="s">
        <v>99</v>
      </c>
      <c r="C24" s="113" t="s">
        <v>156</v>
      </c>
      <c r="D24" s="112">
        <v>-1.8</v>
      </c>
      <c r="E24" s="112" t="s">
        <v>292</v>
      </c>
      <c r="F24" s="146" t="s">
        <v>159</v>
      </c>
      <c r="G24" s="147"/>
      <c r="H24" s="111" t="s">
        <v>302</v>
      </c>
      <c r="I24" s="117">
        <v>1.1499999999999999</v>
      </c>
      <c r="J24" s="118" t="s">
        <v>309</v>
      </c>
    </row>
    <row r="25" spans="2:11" ht="30" x14ac:dyDescent="0.25">
      <c r="B25" s="111" t="s">
        <v>104</v>
      </c>
      <c r="C25" s="113" t="s">
        <v>106</v>
      </c>
      <c r="D25" s="112">
        <v>-1.4</v>
      </c>
      <c r="E25" s="112" t="s">
        <v>161</v>
      </c>
      <c r="F25" s="146" t="s">
        <v>162</v>
      </c>
      <c r="G25" s="147"/>
      <c r="H25" s="115" t="s">
        <v>303</v>
      </c>
      <c r="I25" s="117">
        <v>1.2</v>
      </c>
      <c r="J25" s="118" t="s">
        <v>310</v>
      </c>
    </row>
    <row r="26" spans="2:11" ht="75" x14ac:dyDescent="0.25">
      <c r="B26" s="111" t="s">
        <v>109</v>
      </c>
      <c r="C26" s="113" t="s">
        <v>163</v>
      </c>
      <c r="D26" s="112">
        <v>-0.5</v>
      </c>
      <c r="E26" s="112" t="s">
        <v>165</v>
      </c>
      <c r="F26" s="146" t="s">
        <v>166</v>
      </c>
      <c r="G26" s="147"/>
      <c r="H26" s="115" t="s">
        <v>304</v>
      </c>
      <c r="I26" s="117">
        <v>1</v>
      </c>
      <c r="J26" s="118" t="s">
        <v>311</v>
      </c>
    </row>
    <row r="27" spans="2:11" ht="60" x14ac:dyDescent="0.25">
      <c r="B27" s="111" t="s">
        <v>114</v>
      </c>
      <c r="C27" s="113" t="s">
        <v>106</v>
      </c>
      <c r="D27" s="112">
        <v>-1.7</v>
      </c>
      <c r="E27" s="112" t="s">
        <v>168</v>
      </c>
      <c r="F27" s="146" t="s">
        <v>169</v>
      </c>
      <c r="G27" s="147"/>
      <c r="H27" s="112" t="s">
        <v>305</v>
      </c>
      <c r="I27" s="117">
        <v>1.1000000000000001</v>
      </c>
      <c r="J27" s="118" t="s">
        <v>312</v>
      </c>
    </row>
    <row r="29" spans="2:11" x14ac:dyDescent="0.25">
      <c r="B29" s="74" t="s">
        <v>307</v>
      </c>
    </row>
  </sheetData>
  <mergeCells count="11">
    <mergeCell ref="F23:G23"/>
    <mergeCell ref="F24:G24"/>
    <mergeCell ref="F25:G25"/>
    <mergeCell ref="F26:G26"/>
    <mergeCell ref="F27:G27"/>
    <mergeCell ref="B9:L9"/>
    <mergeCell ref="B3:K3"/>
    <mergeCell ref="B5:L5"/>
    <mergeCell ref="B6:L6"/>
    <mergeCell ref="B7:L7"/>
    <mergeCell ref="B8:L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B6FE1-A21F-4A69-9539-5B0E54BF637A}">
  <dimension ref="B2:D20"/>
  <sheetViews>
    <sheetView showGridLines="0" workbookViewId="0">
      <selection activeCell="B16" sqref="B16:D20"/>
    </sheetView>
  </sheetViews>
  <sheetFormatPr baseColWidth="10" defaultRowHeight="15" x14ac:dyDescent="0.25"/>
  <cols>
    <col min="2" max="2" width="35.28515625" customWidth="1"/>
    <col min="3" max="3" width="36.28515625" customWidth="1"/>
    <col min="4" max="4" width="29.42578125" customWidth="1"/>
  </cols>
  <sheetData>
    <row r="2" spans="2:4" ht="21" x14ac:dyDescent="0.35">
      <c r="B2" s="57" t="s">
        <v>327</v>
      </c>
    </row>
    <row r="5" spans="2:4" x14ac:dyDescent="0.25">
      <c r="B5" s="110" t="s">
        <v>313</v>
      </c>
      <c r="C5" s="110" t="s">
        <v>314</v>
      </c>
      <c r="D5" s="110" t="s">
        <v>315</v>
      </c>
    </row>
    <row r="6" spans="2:4" x14ac:dyDescent="0.25">
      <c r="B6" s="73" t="s">
        <v>316</v>
      </c>
      <c r="C6" s="73" t="s">
        <v>317</v>
      </c>
      <c r="D6" s="73" t="s">
        <v>318</v>
      </c>
    </row>
    <row r="7" spans="2:4" x14ac:dyDescent="0.25">
      <c r="B7" s="73" t="s">
        <v>319</v>
      </c>
      <c r="C7" s="73" t="s">
        <v>320</v>
      </c>
      <c r="D7" s="73" t="s">
        <v>318</v>
      </c>
    </row>
    <row r="8" spans="2:4" x14ac:dyDescent="0.25">
      <c r="B8" s="73" t="s">
        <v>321</v>
      </c>
      <c r="C8" s="73" t="s">
        <v>322</v>
      </c>
      <c r="D8" s="73" t="s">
        <v>318</v>
      </c>
    </row>
    <row r="9" spans="2:4" x14ac:dyDescent="0.25">
      <c r="B9" s="73" t="s">
        <v>323</v>
      </c>
      <c r="C9" s="73" t="s">
        <v>324</v>
      </c>
      <c r="D9" s="73" t="s">
        <v>318</v>
      </c>
    </row>
    <row r="10" spans="2:4" x14ac:dyDescent="0.25">
      <c r="B10" s="73" t="s">
        <v>325</v>
      </c>
      <c r="C10" s="73" t="s">
        <v>326</v>
      </c>
      <c r="D10" s="73" t="s">
        <v>318</v>
      </c>
    </row>
    <row r="14" spans="2:4" x14ac:dyDescent="0.25">
      <c r="B14" t="s">
        <v>329</v>
      </c>
    </row>
    <row r="16" spans="2:4" x14ac:dyDescent="0.25">
      <c r="B16" s="110" t="s">
        <v>66</v>
      </c>
      <c r="C16" s="110" t="s">
        <v>330</v>
      </c>
      <c r="D16" s="110" t="s">
        <v>331</v>
      </c>
    </row>
    <row r="17" spans="2:4" x14ac:dyDescent="0.25">
      <c r="B17" s="73" t="s">
        <v>332</v>
      </c>
      <c r="C17" s="73" t="s">
        <v>333</v>
      </c>
      <c r="D17" s="80" t="s">
        <v>334</v>
      </c>
    </row>
    <row r="18" spans="2:4" x14ac:dyDescent="0.25">
      <c r="B18" s="73" t="s">
        <v>357</v>
      </c>
      <c r="C18" s="73" t="s">
        <v>335</v>
      </c>
      <c r="D18" s="80" t="s">
        <v>336</v>
      </c>
    </row>
    <row r="19" spans="2:4" ht="30" x14ac:dyDescent="0.25">
      <c r="B19" s="73" t="s">
        <v>358</v>
      </c>
      <c r="C19" s="73" t="s">
        <v>337</v>
      </c>
      <c r="D19" s="80" t="s">
        <v>338</v>
      </c>
    </row>
    <row r="20" spans="2:4" x14ac:dyDescent="0.25">
      <c r="B20" s="73" t="s">
        <v>339</v>
      </c>
      <c r="C20" s="73" t="s">
        <v>340</v>
      </c>
      <c r="D20" s="73" t="s">
        <v>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Glosario</vt:lpstr>
      <vt:lpstr>Hoja de formulas</vt:lpstr>
      <vt:lpstr>Lineamientos de precios</vt:lpstr>
      <vt:lpstr>Datos Ejercicio</vt:lpstr>
      <vt:lpstr>Simulador</vt:lpstr>
      <vt:lpstr>Análisis de Sensibilidad de PX</vt:lpstr>
      <vt:lpstr>Calculo de Cortes y PX</vt:lpstr>
      <vt:lpstr>Matriz Carter</vt:lpstr>
      <vt:lpstr>Valor Percibido</vt:lpstr>
      <vt:lpstr>Valor Percibido vs Precio Perc 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Viviana_Molina@cargill.com</dc:creator>
  <cp:lastModifiedBy>Viviana Molina</cp:lastModifiedBy>
  <dcterms:created xsi:type="dcterms:W3CDTF">2022-01-19T16:33:55Z</dcterms:created>
  <dcterms:modified xsi:type="dcterms:W3CDTF">2025-07-02T04:18:38Z</dcterms:modified>
</cp:coreProperties>
</file>