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VENTAS" sheetId="1" r:id="rId4"/>
    <sheet state="visible" name="INVERSIONES" sheetId="2" r:id="rId5"/>
    <sheet state="visible" name="COSTO MATERIA PRIMA" sheetId="3" r:id="rId6"/>
    <sheet state="visible" name="COSTOS Y GASTOS" sheetId="4" r:id="rId7"/>
    <sheet state="visible" name="PRESTAMO" sheetId="5" r:id="rId8"/>
    <sheet state="visible" name="COSTO RESUMEN" sheetId="6" r:id="rId9"/>
    <sheet state="visible" name="ESTADO DE RESULTADOS" sheetId="7" r:id="rId10"/>
    <sheet state="visible" name="NOMINA" sheetId="8" r:id="rId11"/>
    <sheet state="visible" name="FLUJO DE CAJA" sheetId="9" r:id="rId12"/>
    <sheet state="visible" name="BALANCE GENERAL" sheetId="10" r:id="rId13"/>
    <sheet state="visible" name="Indicadores" sheetId="11" r:id="rId14"/>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G9">
      <text>
        <t xml:space="preserve">tasas de interés de captación de certificados de depósito a termino (CDT's) Del banco de la republica
	-Master Foodies Bga</t>
      </text>
    </comment>
  </commentList>
</comments>
</file>

<file path=xl/sharedStrings.xml><?xml version="1.0" encoding="utf-8"?>
<sst xmlns="http://schemas.openxmlformats.org/spreadsheetml/2006/main" count="927" uniqueCount="410">
  <si>
    <t>1. Cantidad de turistas que entran a Bucaramanga a traves del Aeropuerto de Bucaramanga y la terminal de transportes.(Datos tomados segun Boletin de turismo de Bucaramanga)</t>
  </si>
  <si>
    <t>Enero</t>
  </si>
  <si>
    <t>Febrero</t>
  </si>
  <si>
    <t>Marzo</t>
  </si>
  <si>
    <t>Abril</t>
  </si>
  <si>
    <t>Mayo</t>
  </si>
  <si>
    <t>Junio</t>
  </si>
  <si>
    <t>Julio</t>
  </si>
  <si>
    <t>Agosto</t>
  </si>
  <si>
    <t>Septiembre</t>
  </si>
  <si>
    <t>Octubre</t>
  </si>
  <si>
    <t>Noviembre</t>
  </si>
  <si>
    <t>Diciembre</t>
  </si>
  <si>
    <t>2.Teniendo en cuenta el crecimiento de la economia en el pais , se espera que por año  halla un crecimiento del sector del 3%. Esto quiere decir que para 2025 habra un crecimiento del 6%</t>
  </si>
  <si>
    <t>3.Teniendo los datos de los turistas que entran a Bucaramanga se segmento primero los turistas que visitan gastrobares. Para ello se tuvo en cuenta el porcentaje de  personas que visitan gastrobares segun los datos de la encuesta realizada para el presente proyecto</t>
  </si>
  <si>
    <t>4. Ahora se segmentara de acuerdo a los turistas que tienes un interes en la comida regional. El porcentaje fue tomado de la investigación de mercados realizada en el presente proyecto de grado</t>
  </si>
  <si>
    <t xml:space="preserve">5. Teniendo en cuenta que el lugar donde estara ubicado Andino hay un total de  aproximadamente 14 gastrobares se aspirara a un 7% de Mercado meta </t>
  </si>
  <si>
    <t xml:space="preserve">6. Teniendo en cuenta que a Andino no solo entraran turistas, donde el 28 % seran personas residentes de Bucaramanga y su area metropolitana </t>
  </si>
  <si>
    <t>Mercado objetivo</t>
  </si>
  <si>
    <t>7.Para poder calcular las ventas sera necesario  hacer una aproximacion del consumo de un cliente en el Gastrobar.</t>
  </si>
  <si>
    <t>Frecuencia AÑO</t>
  </si>
  <si>
    <t>Veces</t>
  </si>
  <si>
    <t xml:space="preserve">Tipo de plato </t>
  </si>
  <si>
    <t>Precio de venta</t>
  </si>
  <si>
    <t>Frecuencia de consumo Mensual</t>
  </si>
  <si>
    <t>Consumo mensual</t>
  </si>
  <si>
    <t>Total consumo por tipo de plato mensual</t>
  </si>
  <si>
    <t>Platos para compartir</t>
  </si>
  <si>
    <t>Delicias Santandereanas</t>
  </si>
  <si>
    <t>Arancini de Cabro</t>
  </si>
  <si>
    <t>Cóctel de Chorizo Artesanal</t>
  </si>
  <si>
    <t>mes</t>
  </si>
  <si>
    <t>año</t>
  </si>
  <si>
    <t>Arepitas Campesinas</t>
  </si>
  <si>
    <t>Hamburguesas Comuneras</t>
  </si>
  <si>
    <t>Tortillas del Chicamocha</t>
  </si>
  <si>
    <t>Picada de la Tierrita</t>
  </si>
  <si>
    <t>Platos Individuales</t>
  </si>
  <si>
    <t>Chatas de San Vicente</t>
  </si>
  <si>
    <t>Mute Santandereano</t>
  </si>
  <si>
    <t>Wok de Sabores Andinos</t>
  </si>
  <si>
    <t>Cabrito Santandereano</t>
  </si>
  <si>
    <t>Lomo al Trapo Betuliano</t>
  </si>
  <si>
    <t>Postres</t>
  </si>
  <si>
    <t>Milhoja Veleña</t>
  </si>
  <si>
    <t>Delicia de Vainilla</t>
  </si>
  <si>
    <t>Melao de la Tierra</t>
  </si>
  <si>
    <t>Waffle de Almojabana</t>
  </si>
  <si>
    <t>Cocteles</t>
  </si>
  <si>
    <t>Whisky Sour de Gulupa</t>
  </si>
  <si>
    <t>Daiquiri de Guayaba</t>
  </si>
  <si>
    <t>Tom Collins de Uchuva</t>
  </si>
  <si>
    <t>Tequila sunrise de guama</t>
  </si>
  <si>
    <t xml:space="preserve">Mojito de piña </t>
  </si>
  <si>
    <t>Gin fizz de Agraz</t>
  </si>
  <si>
    <t>Cosmopolitan de Mamón</t>
  </si>
  <si>
    <t>Sol Andino</t>
  </si>
  <si>
    <t>Bebidas</t>
  </si>
  <si>
    <t>Guarapo de frutas</t>
  </si>
  <si>
    <t>Limonada de panela</t>
  </si>
  <si>
    <t>Limonada de Kola hipinto</t>
  </si>
  <si>
    <t>Limonada natural</t>
  </si>
  <si>
    <t>Souvenirs</t>
  </si>
  <si>
    <t>Camisetas</t>
  </si>
  <si>
    <t>Gorras</t>
  </si>
  <si>
    <t>Sombreros</t>
  </si>
  <si>
    <t>Tarro de arequipe</t>
  </si>
  <si>
    <t>Miel de abejas</t>
  </si>
  <si>
    <t>Dulce de arroz</t>
  </si>
  <si>
    <t>Bocadillo Veleño</t>
  </si>
  <si>
    <t>Panuchas</t>
  </si>
  <si>
    <t>Coctel Embotellado</t>
  </si>
  <si>
    <t>Brevas con arequipe</t>
  </si>
  <si>
    <t>Mugs</t>
  </si>
  <si>
    <t>Llaveros</t>
  </si>
  <si>
    <t>Porcelanas</t>
  </si>
  <si>
    <t>Imanes</t>
  </si>
  <si>
    <t>Pulseras</t>
  </si>
  <si>
    <t>Collares</t>
  </si>
  <si>
    <t>Bolsos</t>
  </si>
  <si>
    <t>Mochilas</t>
  </si>
  <si>
    <t>8. Ahora para hallar las ventas de cada uno de los años  se tuvo en cuenta el consumo calculado  en el paso 7 y el mercado objetivo hallado en el paso 6</t>
  </si>
  <si>
    <t>Total</t>
  </si>
  <si>
    <t xml:space="preserve">Platos para compartir </t>
  </si>
  <si>
    <t>Descripción</t>
  </si>
  <si>
    <t>Costo</t>
  </si>
  <si>
    <t>Terrenos (Compra de lote o terreno para Construcción)</t>
  </si>
  <si>
    <t>Construcciones y Edificaciones</t>
  </si>
  <si>
    <t>TOTAL</t>
  </si>
  <si>
    <t>Costo Maquinaria y equipos</t>
  </si>
  <si>
    <t xml:space="preserve">Equipos </t>
  </si>
  <si>
    <t>Cantidad</t>
  </si>
  <si>
    <t>Valor unitario</t>
  </si>
  <si>
    <t>Valor total</t>
  </si>
  <si>
    <t>Freidora</t>
  </si>
  <si>
    <t>Estufa Industrial</t>
  </si>
  <si>
    <t>Lavaplatos</t>
  </si>
  <si>
    <t>Campana extractora</t>
  </si>
  <si>
    <t>Nevera</t>
  </si>
  <si>
    <t>Mesas de trabajo</t>
  </si>
  <si>
    <t>Licuadora</t>
  </si>
  <si>
    <t>Batidora</t>
  </si>
  <si>
    <t>Wafflera</t>
  </si>
  <si>
    <t>Horno</t>
  </si>
  <si>
    <t>Impresora de pedidos</t>
  </si>
  <si>
    <t>Mesas cuadradas sillas x 4</t>
  </si>
  <si>
    <t>Sillas para barra</t>
  </si>
  <si>
    <t>Pantalla táctil</t>
  </si>
  <si>
    <t xml:space="preserve">Muebles y enseres </t>
  </si>
  <si>
    <t>Vajillas (platos y vasos)</t>
  </si>
  <si>
    <t>Cubiertos(cuchillo, tenedor, cuchara)</t>
  </si>
  <si>
    <t>Decoración</t>
  </si>
  <si>
    <t>-</t>
  </si>
  <si>
    <t>Equipo de oficina</t>
  </si>
  <si>
    <t>Equipos de oficina</t>
  </si>
  <si>
    <t>Escritorio</t>
  </si>
  <si>
    <t>Silla de escritorio</t>
  </si>
  <si>
    <t xml:space="preserve">Computador </t>
  </si>
  <si>
    <t>Aire acondicionado</t>
  </si>
  <si>
    <t>Impresora</t>
  </si>
  <si>
    <t>Herramientas</t>
  </si>
  <si>
    <t>Sartenes</t>
  </si>
  <si>
    <t>Sartén tipo wok</t>
  </si>
  <si>
    <t>Ollas</t>
  </si>
  <si>
    <t>Moldes y Bandejas de Horno</t>
  </si>
  <si>
    <t>Recipientes para Almacenamiento</t>
  </si>
  <si>
    <t>Macerador</t>
  </si>
  <si>
    <t>Coctelera</t>
  </si>
  <si>
    <t>Jigger/medidor</t>
  </si>
  <si>
    <t>Colador</t>
  </si>
  <si>
    <t>Cuchara de coctelería</t>
  </si>
  <si>
    <t>Pinzas para hielo</t>
  </si>
  <si>
    <t>Hielera</t>
  </si>
  <si>
    <t>Exprimidor</t>
  </si>
  <si>
    <t>Zester</t>
  </si>
  <si>
    <t>Pistola de infusión de humo</t>
  </si>
  <si>
    <t>Cucharas medidoras</t>
  </si>
  <si>
    <t>Tablas de cortar</t>
  </si>
  <si>
    <r>
      <rPr>
        <rFont val="Times New Roman"/>
        <color rgb="FF000000"/>
        <sz val="12.0"/>
      </rPr>
      <t>Cuchillos</t>
    </r>
  </si>
  <si>
    <t>Inversion Fija</t>
  </si>
  <si>
    <t>Concepto</t>
  </si>
  <si>
    <t>Valor</t>
  </si>
  <si>
    <t>Terreno</t>
  </si>
  <si>
    <t>Construcciones</t>
  </si>
  <si>
    <t>Maquinaria y Equipos</t>
  </si>
  <si>
    <t>Muebles y enseres</t>
  </si>
  <si>
    <t>Inversión Diferida</t>
  </si>
  <si>
    <t>Permisos y licencias</t>
  </si>
  <si>
    <t>Registro de marca</t>
  </si>
  <si>
    <t>Sofware contable</t>
  </si>
  <si>
    <t>Adecuaciones -Remodelaciones</t>
  </si>
  <si>
    <t>Valor Amortización Anual (Por cinco años)</t>
  </si>
  <si>
    <t>Costo Materia Prima</t>
  </si>
  <si>
    <t>Platos</t>
  </si>
  <si>
    <t xml:space="preserve">Costo materia prima </t>
  </si>
  <si>
    <t>Frecuencia de consumo mensual</t>
  </si>
  <si>
    <t>Costo Mp Mensual</t>
  </si>
  <si>
    <t>Costo total Mp prima por tipo de plato</t>
  </si>
  <si>
    <t>Platos individuales</t>
  </si>
  <si>
    <t>Mojito de piña</t>
  </si>
  <si>
    <t>Costo Materia Prima 2025</t>
  </si>
  <si>
    <t>Costo Materia Prima 2026</t>
  </si>
  <si>
    <t>Costo Materia Prima 2027</t>
  </si>
  <si>
    <t>Costo Materia Prima 2028</t>
  </si>
  <si>
    <t>Costo Materia Prima 2029</t>
  </si>
  <si>
    <t xml:space="preserve">Prorrateo </t>
  </si>
  <si>
    <t>Item</t>
  </si>
  <si>
    <t>Tiempo a depreciar</t>
  </si>
  <si>
    <t>Proyeccion años para la depreciación</t>
  </si>
  <si>
    <t>Valor de salvamento</t>
  </si>
  <si>
    <t>Valor a depreciar</t>
  </si>
  <si>
    <t>Depreciacion Mensual</t>
  </si>
  <si>
    <t>Depreciación Anual</t>
  </si>
  <si>
    <t>Servicios Publicos y de arrendamiento</t>
  </si>
  <si>
    <t>Porcentajes de prorrateo</t>
  </si>
  <si>
    <t>Depreaciación</t>
  </si>
  <si>
    <t>Operativo</t>
  </si>
  <si>
    <t>Administrativo</t>
  </si>
  <si>
    <t>Gas</t>
  </si>
  <si>
    <t>Arrendamiento</t>
  </si>
  <si>
    <t>Servicio de acueducto, alcantarillado y aseo</t>
  </si>
  <si>
    <t>Energía</t>
  </si>
  <si>
    <t>Herraminentas</t>
  </si>
  <si>
    <t>Telèfono, internet banda ancha y televisión</t>
  </si>
  <si>
    <t>Depreciación</t>
  </si>
  <si>
    <t>Distribución de Depreciación</t>
  </si>
  <si>
    <t>Valor Mensual</t>
  </si>
  <si>
    <t>Servicio de acueducto, alcantirillado y aseo</t>
  </si>
  <si>
    <t>Teléfono, Internet Banda ancha y Televisión</t>
  </si>
  <si>
    <t>Gastos administrativos</t>
  </si>
  <si>
    <t>Valor mensual</t>
  </si>
  <si>
    <t>Valor anual</t>
  </si>
  <si>
    <t>Mantenimiento</t>
  </si>
  <si>
    <t>Papeleria</t>
  </si>
  <si>
    <t>Equipo Administrativo y de marketing</t>
  </si>
  <si>
    <t xml:space="preserve">Factor prestacional </t>
  </si>
  <si>
    <t>Seguros</t>
  </si>
  <si>
    <t>Valor  Total</t>
  </si>
  <si>
    <t>N</t>
  </si>
  <si>
    <t xml:space="preserve">Salario mensual </t>
  </si>
  <si>
    <t xml:space="preserve">Vacaciones </t>
  </si>
  <si>
    <t xml:space="preserve">Parafiscales </t>
  </si>
  <si>
    <t xml:space="preserve">Aporte salud </t>
  </si>
  <si>
    <t xml:space="preserve">Aportes pensión </t>
  </si>
  <si>
    <t xml:space="preserve">ARL </t>
  </si>
  <si>
    <t>Auxilio de transporte</t>
  </si>
  <si>
    <t>Salario Integral</t>
  </si>
  <si>
    <t xml:space="preserve">Total por cargo </t>
  </si>
  <si>
    <t>Depreciaciòn Construcciones</t>
  </si>
  <si>
    <t xml:space="preserve">Sobres </t>
  </si>
  <si>
    <t>Auxiliar Administrativo</t>
  </si>
  <si>
    <t>Depreciaciòn Maquinaria y Equipos</t>
  </si>
  <si>
    <t>Hojas resma</t>
  </si>
  <si>
    <t>Gerente</t>
  </si>
  <si>
    <t>Depreciación Muebles y enseres</t>
  </si>
  <si>
    <t>Tinta</t>
  </si>
  <si>
    <t>Total Mensual</t>
  </si>
  <si>
    <t>Depreciación Equipos de oficina</t>
  </si>
  <si>
    <t>Utensilios de oficina (cinta, clips, notas adhesivas etc)</t>
  </si>
  <si>
    <t>Depreciación Herramientas</t>
  </si>
  <si>
    <t>Arriendo</t>
  </si>
  <si>
    <t>Servicios</t>
  </si>
  <si>
    <t>Papelería</t>
  </si>
  <si>
    <t xml:space="preserve">Amortizacion diferidos </t>
  </si>
  <si>
    <t>Gasto personal Administrativo</t>
  </si>
  <si>
    <t>Total Gastos Administrativos</t>
  </si>
  <si>
    <t>Mano de obra indirecta</t>
  </si>
  <si>
    <t>Equipo de ventas</t>
  </si>
  <si>
    <t>Salario integral</t>
  </si>
  <si>
    <t>Maitre</t>
  </si>
  <si>
    <t>Meseros</t>
  </si>
  <si>
    <t>Cajero</t>
  </si>
  <si>
    <t>Gastos de ventas</t>
  </si>
  <si>
    <t>Publicidad redes sociales</t>
  </si>
  <si>
    <t>Pagina web</t>
  </si>
  <si>
    <t xml:space="preserve">Nomina </t>
  </si>
  <si>
    <t>Otros (Eventos, participacion en ferias)</t>
  </si>
  <si>
    <t>Materias Primas e Insumos Requeridos</t>
  </si>
  <si>
    <t>Pack Bolsas al Vacio</t>
  </si>
  <si>
    <t>Bolsa Hermetica (100 unds)</t>
  </si>
  <si>
    <t>Vinipel alimentos y aluminio</t>
  </si>
  <si>
    <t>Total Gastos de Administración y Ventas</t>
  </si>
  <si>
    <t>Cajas para empacar</t>
  </si>
  <si>
    <t>CIF ( Costos Indirectos de Fabricación)</t>
  </si>
  <si>
    <t>Total Materia Prima Indirecta</t>
  </si>
  <si>
    <t>Materia prima indirecta</t>
  </si>
  <si>
    <t>Mano de obra Indirecta</t>
  </si>
  <si>
    <t>Total CIF</t>
  </si>
  <si>
    <t>Costo servicio</t>
  </si>
  <si>
    <t>Equipo de cocina</t>
  </si>
  <si>
    <t>Chef ejecutivo</t>
  </si>
  <si>
    <t>Mano de Obra Directa MOD</t>
  </si>
  <si>
    <t>Sous chef</t>
  </si>
  <si>
    <t>Materia Prima</t>
  </si>
  <si>
    <t>Auxiliar de cocina</t>
  </si>
  <si>
    <t>CIF</t>
  </si>
  <si>
    <t>Steward</t>
  </si>
  <si>
    <t>Total costo servicio</t>
  </si>
  <si>
    <t>Bar tender</t>
  </si>
  <si>
    <t>Auxiliares de barra</t>
  </si>
  <si>
    <t>Capital de Trabajo</t>
  </si>
  <si>
    <t>Capital de trabajo</t>
  </si>
  <si>
    <t>Valor Mes</t>
  </si>
  <si>
    <t>Valor a necesitar</t>
  </si>
  <si>
    <t>Costos del producto (Prestaciòn del servicio)</t>
  </si>
  <si>
    <t>Gastos de Administración y Ventas</t>
  </si>
  <si>
    <t>Gastos Financieros</t>
  </si>
  <si>
    <t>(Depreciaciones y amortizaciones)</t>
  </si>
  <si>
    <t>Inversión Total</t>
  </si>
  <si>
    <t>Inversión Fija</t>
  </si>
  <si>
    <t>Inversión en Capital de Trabajo</t>
  </si>
  <si>
    <t>Aportes de los socios</t>
  </si>
  <si>
    <t>Crédito a solicitar</t>
  </si>
  <si>
    <t>PRESTAMO (Bancolombia)</t>
  </si>
  <si>
    <t>Total Prestamo</t>
  </si>
  <si>
    <t>Tiempo</t>
  </si>
  <si>
    <t>Meses</t>
  </si>
  <si>
    <t>Tasa Mensual</t>
  </si>
  <si>
    <t>Mensual</t>
  </si>
  <si>
    <t>Cuotas</t>
  </si>
  <si>
    <t>Cuota</t>
  </si>
  <si>
    <t>Pago</t>
  </si>
  <si>
    <t>Interes</t>
  </si>
  <si>
    <t>Abono a capital</t>
  </si>
  <si>
    <t>Saldo</t>
  </si>
  <si>
    <t>Año</t>
  </si>
  <si>
    <t>Pagos</t>
  </si>
  <si>
    <t>Intereses</t>
  </si>
  <si>
    <t>Abono Capital</t>
  </si>
  <si>
    <t>CIF Fijos</t>
  </si>
  <si>
    <t>Valor Anual</t>
  </si>
  <si>
    <t>Costos Indirectos Fijos</t>
  </si>
  <si>
    <t>Gastos de administración y ventas</t>
  </si>
  <si>
    <t>CIF Variables</t>
  </si>
  <si>
    <t>Costos Indirectos Variables (servicios)</t>
  </si>
  <si>
    <t xml:space="preserve">Estados de resultados </t>
  </si>
  <si>
    <t>Año 1</t>
  </si>
  <si>
    <t>Año 2</t>
  </si>
  <si>
    <t>Año 3</t>
  </si>
  <si>
    <t>Año 4</t>
  </si>
  <si>
    <t>Año 5</t>
  </si>
  <si>
    <t>Inflación</t>
  </si>
  <si>
    <t>Venta de platos para compartir</t>
  </si>
  <si>
    <t>Venta de platos individuales</t>
  </si>
  <si>
    <t>Venta de postres</t>
  </si>
  <si>
    <t>Venta de cocteles</t>
  </si>
  <si>
    <t>Venta de bebidas</t>
  </si>
  <si>
    <t>Venta de souvenirs</t>
  </si>
  <si>
    <t>Total Ingresos</t>
  </si>
  <si>
    <t>Mano de obra Directa</t>
  </si>
  <si>
    <t>Materia prima</t>
  </si>
  <si>
    <t>Costo de servicio</t>
  </si>
  <si>
    <t>Utilidad Bruta</t>
  </si>
  <si>
    <t>Gastos de Administración</t>
  </si>
  <si>
    <t>Utilidad Operativa</t>
  </si>
  <si>
    <t>Utilidad antes de impuestos</t>
  </si>
  <si>
    <t>Impuesto de renta</t>
  </si>
  <si>
    <t>Utilidad Neta</t>
  </si>
  <si>
    <t>Nomina  de Andino</t>
  </si>
  <si>
    <t>Total mensual</t>
  </si>
  <si>
    <t>Equipo de Barra</t>
  </si>
  <si>
    <t>Equipo Administrativo y de ventas</t>
  </si>
  <si>
    <t>Auxiliar Administrativo y contable</t>
  </si>
  <si>
    <t>Comunnity Manager</t>
  </si>
  <si>
    <t>Nomina de "Andino"</t>
  </si>
  <si>
    <t xml:space="preserve">Cargo </t>
  </si>
  <si>
    <t>Aportes prestacionales</t>
  </si>
  <si>
    <t>Total por cargo</t>
  </si>
  <si>
    <t xml:space="preserve">Total Nomina Mensual </t>
  </si>
  <si>
    <t>Total empleados Andino</t>
  </si>
  <si>
    <t xml:space="preserve"> Inversión Inicial</t>
  </si>
  <si>
    <t xml:space="preserve"> Año 1</t>
  </si>
  <si>
    <t>Ingresos operacionales</t>
  </si>
  <si>
    <t>Total de Ingresos Operacionales</t>
  </si>
  <si>
    <t>Pago de Costos</t>
  </si>
  <si>
    <t>Pago de Mano de Obra Directa</t>
  </si>
  <si>
    <t>Pago de Materia Prima</t>
  </si>
  <si>
    <t>Pago de CIF</t>
  </si>
  <si>
    <t>Depreciaciones</t>
  </si>
  <si>
    <t>Total Pagos de Costos Operacionales</t>
  </si>
  <si>
    <t>Flujo de caja operacional Bruto</t>
  </si>
  <si>
    <t>Pagos de Gastos</t>
  </si>
  <si>
    <t>Pago de Gastos de Administración</t>
  </si>
  <si>
    <t>Amortizaciones</t>
  </si>
  <si>
    <t>Pago de Gastos de Ventas</t>
  </si>
  <si>
    <t>Pago de Impuestos</t>
  </si>
  <si>
    <t>Total Pago de Gastos Operacionales</t>
  </si>
  <si>
    <t>Flujo de caja operacional Neto</t>
  </si>
  <si>
    <t>Inversiones</t>
  </si>
  <si>
    <t>Total de Inversiones</t>
  </si>
  <si>
    <t>Flujo de Caja Libre</t>
  </si>
  <si>
    <t>Financiación</t>
  </si>
  <si>
    <t>Crédito Financiero</t>
  </si>
  <si>
    <t>Otras Fuentes (Valor en libros de Activos)</t>
  </si>
  <si>
    <t>Total Ingresos de Financiación</t>
  </si>
  <si>
    <t>Egresos de Financiación</t>
  </si>
  <si>
    <t>Abonos a capital</t>
  </si>
  <si>
    <t>Pago de Intereses</t>
  </si>
  <si>
    <t>Total Egresos de Financiación</t>
  </si>
  <si>
    <t>Flujo de caja de Financiación</t>
  </si>
  <si>
    <t>Flujo Neto de caja</t>
  </si>
  <si>
    <t>Flujo de caja del período</t>
  </si>
  <si>
    <t>Saldo anterior de Caja y Bancos</t>
  </si>
  <si>
    <t>Saldo final de caja y bancos</t>
  </si>
  <si>
    <t>Balance General</t>
  </si>
  <si>
    <t>Caja y Bancos</t>
  </si>
  <si>
    <t>Total Activo Corriente</t>
  </si>
  <si>
    <t>Terrenos</t>
  </si>
  <si>
    <t>Maquinaria y Equipo</t>
  </si>
  <si>
    <t>Muebles y Enseres</t>
  </si>
  <si>
    <t>Equipos de Oficina</t>
  </si>
  <si>
    <t>Depreciación Acumulada</t>
  </si>
  <si>
    <t>Total Activo Fijo Neto</t>
  </si>
  <si>
    <t>Inversión diferida</t>
  </si>
  <si>
    <t>Amorización diferida</t>
  </si>
  <si>
    <t>Activo Diferido Neto</t>
  </si>
  <si>
    <t>ACTIVO TOTAL</t>
  </si>
  <si>
    <t>Obligaciones Financieras</t>
  </si>
  <si>
    <t>Impuestos por pagar</t>
  </si>
  <si>
    <t>Total Pasivo Corriente</t>
  </si>
  <si>
    <t>Obligaciones de Largo Plazo</t>
  </si>
  <si>
    <t>PASIVO TOTAL</t>
  </si>
  <si>
    <t>Aportes Sociales</t>
  </si>
  <si>
    <t>Utilidades Ejercicios Anteriores</t>
  </si>
  <si>
    <t>Utilidades del Presente Ejercicio</t>
  </si>
  <si>
    <t>PATRIMONIO TOTAL</t>
  </si>
  <si>
    <t>TOTAL PASIVO + PATRIMONIO</t>
  </si>
  <si>
    <t>VERIFICACIÓN DE SALDOS</t>
  </si>
  <si>
    <t>Valor Presente Neto</t>
  </si>
  <si>
    <t>Flujo Esperado</t>
  </si>
  <si>
    <t>Tasa captación</t>
  </si>
  <si>
    <t>Valor Presente Anual</t>
  </si>
  <si>
    <t>TIR</t>
  </si>
  <si>
    <t>Efectivo Anual</t>
  </si>
  <si>
    <t>VPN</t>
  </si>
  <si>
    <t>Periodo de recuperacion de la inversión (PRI)</t>
  </si>
  <si>
    <t>Periodo</t>
  </si>
  <si>
    <t>Inversión</t>
  </si>
  <si>
    <t>Flujo Caja Anual</t>
  </si>
  <si>
    <t>Inversión - F.Caja</t>
  </si>
  <si>
    <t>Año 0</t>
  </si>
  <si>
    <t>PRI</t>
  </si>
  <si>
    <t>Años</t>
  </si>
  <si>
    <t xml:space="preserve">Analisis De Escenarios </t>
  </si>
  <si>
    <t>Escenarios</t>
  </si>
  <si>
    <t>Pesimista</t>
  </si>
  <si>
    <t>Probable</t>
  </si>
  <si>
    <t>Optimista</t>
  </si>
  <si>
    <t>Tasa de mortalidad</t>
  </si>
  <si>
    <t>Actual (3%)</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</si>
</sst>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 $]#,##0"/>
    <numFmt numFmtId="165" formatCode="#,##0.00000"/>
    <numFmt numFmtId="166" formatCode="0.00000"/>
    <numFmt numFmtId="167" formatCode="0.0000"/>
    <numFmt numFmtId="168" formatCode="_-&quot;$&quot;\ * #,##0_-;\-&quot;$&quot;\ * #,##0_-;_-&quot;$&quot;\ * &quot;-&quot;??_-;_-@"/>
    <numFmt numFmtId="169" formatCode="0.0%"/>
    <numFmt numFmtId="170" formatCode="&quot;$&quot;\ #,##0"/>
    <numFmt numFmtId="171" formatCode="_-* #,##0_-;\-* #,##0_-;_-* &quot;-&quot;_-;_-@"/>
    <numFmt numFmtId="172" formatCode="_(&quot;$&quot;\ * #,##0.00_);_(&quot;$&quot;\ * \(#,##0.00\);_(&quot;$&quot;\ * &quot;-&quot;??_);_(@_)"/>
    <numFmt numFmtId="173" formatCode="&quot;$&quot;\ #,##0.00"/>
  </numFmts>
  <fonts count="13">
    <font>
      <sz val="10.0"/>
      <color rgb="FF000000"/>
      <name val="Arial"/>
      <scheme val="minor"/>
    </font>
    <font>
      <color theme="1"/>
      <name val="Arial"/>
      <scheme val="minor"/>
    </font>
    <font>
      <b/>
      <color theme="1"/>
      <name val="Arial"/>
      <scheme val="minor"/>
    </font>
    <font/>
    <font>
      <color theme="1"/>
      <name val="Arial"/>
    </font>
    <font>
      <b/>
      <sz val="12.0"/>
      <color theme="1"/>
      <name val="Times New Roman"/>
    </font>
    <font>
      <sz val="12.0"/>
      <color theme="1"/>
      <name val="Times New Roman"/>
    </font>
    <font>
      <b/>
      <color theme="1"/>
      <name val="Arial"/>
    </font>
    <font>
      <i/>
      <sz val="12.0"/>
      <color theme="1"/>
      <name val="Times New Roman"/>
    </font>
    <font>
      <b/>
      <i/>
      <sz val="12.0"/>
      <color theme="1"/>
      <name val="Times New Roman"/>
    </font>
    <font>
      <b/>
      <sz val="11.0"/>
      <color theme="1"/>
      <name val="Times New Roman"/>
    </font>
    <font>
      <b/>
      <i/>
      <sz val="11.0"/>
      <color theme="1"/>
      <name val="Times New Roman"/>
    </font>
    <font>
      <sz val="11.0"/>
      <color theme="1"/>
      <name val="Times New Roman"/>
    </font>
  </fonts>
  <fills count="23">
    <fill>
      <patternFill patternType="none"/>
    </fill>
    <fill>
      <patternFill patternType="lightGray"/>
    </fill>
    <fill>
      <patternFill patternType="solid">
        <fgColor rgb="FF999999"/>
        <bgColor rgb="FF999999"/>
      </patternFill>
    </fill>
    <fill>
      <patternFill patternType="solid">
        <fgColor rgb="FFFFF2CC"/>
        <bgColor rgb="FFFFF2CC"/>
      </patternFill>
    </fill>
    <fill>
      <patternFill patternType="solid">
        <fgColor rgb="FFFFFFFF"/>
        <bgColor rgb="FFFFFFFF"/>
      </patternFill>
    </fill>
    <fill>
      <patternFill patternType="solid">
        <fgColor rgb="FFFCE5CD"/>
        <bgColor rgb="FFFCE5CD"/>
      </patternFill>
    </fill>
    <fill>
      <patternFill patternType="solid">
        <fgColor rgb="FFCFE2F3"/>
        <bgColor rgb="FFCFE2F3"/>
      </patternFill>
    </fill>
    <fill>
      <patternFill patternType="solid">
        <fgColor rgb="FFD9D2E9"/>
        <bgColor rgb="FFD9D2E9"/>
      </patternFill>
    </fill>
    <fill>
      <patternFill patternType="solid">
        <fgColor rgb="FFD5A6BD"/>
        <bgColor rgb="FFD5A6BD"/>
      </patternFill>
    </fill>
    <fill>
      <patternFill patternType="solid">
        <fgColor rgb="FFE6B8AF"/>
        <bgColor rgb="FFE6B8AF"/>
      </patternFill>
    </fill>
    <fill>
      <patternFill patternType="solid">
        <fgColor rgb="FFF4CCCC"/>
        <bgColor rgb="FFF4CCCC"/>
      </patternFill>
    </fill>
    <fill>
      <patternFill patternType="solid">
        <fgColor rgb="FFB7B7B7"/>
        <bgColor rgb="FFB7B7B7"/>
      </patternFill>
    </fill>
    <fill>
      <patternFill patternType="solid">
        <fgColor rgb="FFFFFF00"/>
        <bgColor rgb="FFFFFF00"/>
      </patternFill>
    </fill>
    <fill>
      <patternFill patternType="solid">
        <fgColor rgb="FF00FF00"/>
        <bgColor rgb="FF00FF00"/>
      </patternFill>
    </fill>
    <fill>
      <patternFill patternType="solid">
        <fgColor rgb="FFFF9900"/>
        <bgColor rgb="FFFF9900"/>
      </patternFill>
    </fill>
    <fill>
      <patternFill patternType="solid">
        <fgColor rgb="FFD0E0E3"/>
        <bgColor rgb="FFD0E0E3"/>
      </patternFill>
    </fill>
    <fill>
      <patternFill patternType="solid">
        <fgColor rgb="FF00FFFF"/>
        <bgColor rgb="FF00FFFF"/>
      </patternFill>
    </fill>
    <fill>
      <patternFill patternType="solid">
        <fgColor rgb="FFD0CECE"/>
        <bgColor rgb="FFD0CECE"/>
      </patternFill>
    </fill>
    <fill>
      <patternFill patternType="solid">
        <fgColor rgb="FFF2F2F2"/>
        <bgColor rgb="FFF2F2F2"/>
      </patternFill>
    </fill>
    <fill>
      <patternFill patternType="solid">
        <fgColor rgb="FFDAEEF3"/>
        <bgColor rgb="FFDAEEF3"/>
      </patternFill>
    </fill>
    <fill>
      <patternFill patternType="solid">
        <fgColor rgb="FFCCCCCC"/>
        <bgColor rgb="FFCCCCCC"/>
      </patternFill>
    </fill>
    <fill>
      <patternFill patternType="solid">
        <fgColor rgb="FFA8D08D"/>
        <bgColor rgb="FFA8D08D"/>
      </patternFill>
    </fill>
    <fill>
      <patternFill patternType="solid">
        <fgColor rgb="FFE2EFD9"/>
        <bgColor rgb="FFE2EFD9"/>
      </patternFill>
    </fill>
  </fills>
  <borders count="22">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border>
    <border>
      <left style="thin">
        <color rgb="FF000000"/>
      </left>
      <top style="thin">
        <color rgb="FF000000"/>
      </top>
    </border>
    <border>
      <left style="thin">
        <color rgb="FF000000"/>
      </left>
      <right style="thin">
        <color rgb="FF000000"/>
      </right>
    </border>
    <border>
      <bottom style="medium">
        <color rgb="FF000000"/>
      </bottom>
    </border>
    <border>
      <right style="thin">
        <color rgb="FF000000"/>
      </right>
      <bottom style="medium">
        <color rgb="FF000000"/>
      </bottom>
    </border>
    <border>
      <left style="thin">
        <color rgb="FF000000"/>
      </left>
      <right style="thin">
        <color rgb="FF000000"/>
      </right>
      <bottom style="thin">
        <color rgb="FF000000"/>
      </bottom>
    </border>
    <border>
      <left style="thin">
        <color rgb="FF000000"/>
      </left>
      <bottom style="thin">
        <color rgb="FF000000"/>
      </bottom>
    </border>
    <border>
      <top style="medium">
        <color rgb="FF000000"/>
      </top>
    </border>
    <border>
      <right style="thin">
        <color rgb="FF000000"/>
      </right>
      <top style="medium">
        <color rgb="FF000000"/>
      </top>
    </border>
    <border>
      <top style="medium">
        <color rgb="FF000000"/>
      </top>
      <bottom style="medium">
        <color rgb="FF000000"/>
      </bottom>
    </border>
    <border>
      <right style="thin">
        <color rgb="FF000000"/>
      </right>
      <top style="medium">
        <color rgb="FF000000"/>
      </top>
      <bottom style="medium">
        <color rgb="FF000000"/>
      </bottom>
    </border>
    <border>
      <top style="thin">
        <color rgb="FF000000"/>
      </top>
    </border>
    <border>
      <right style="thin">
        <color rgb="FF000000"/>
      </right>
      <top style="thin">
        <color rgb="FF000000"/>
      </top>
    </border>
    <border>
      <left style="thin">
        <color rgb="FF000000"/>
      </left>
    </border>
    <border>
      <right style="thin">
        <color rgb="FF000000"/>
      </right>
      <bottom style="thin">
        <color rgb="FF000000"/>
      </bottom>
    </border>
    <border>
      <bottom style="thin">
        <color rgb="FF000000"/>
      </bottom>
    </border>
  </borders>
  <cellStyleXfs count="1">
    <xf borderId="0" fillId="0" fontId="0" numFmtId="0" applyAlignment="1" applyFont="1"/>
  </cellStyleXfs>
  <cellXfs count="404">
    <xf borderId="0" fillId="0" fontId="0" numFmtId="0" xfId="0" applyAlignment="1" applyFont="1">
      <alignment readingOrder="0" shrinkToFit="0" vertical="bottom" wrapText="0"/>
    </xf>
    <xf borderId="0" fillId="0" fontId="1" numFmtId="0" xfId="0" applyAlignment="1" applyFont="1">
      <alignment readingOrder="0" shrinkToFit="0" vertical="center" wrapText="1"/>
    </xf>
    <xf borderId="1" fillId="0" fontId="2" numFmtId="0" xfId="0" applyAlignment="1" applyBorder="1" applyFont="1">
      <alignment horizontal="center" readingOrder="0"/>
    </xf>
    <xf borderId="1" fillId="0" fontId="2" numFmtId="0" xfId="0" applyAlignment="1" applyBorder="1" applyFont="1">
      <alignment readingOrder="0"/>
    </xf>
    <xf borderId="1" fillId="0" fontId="1" numFmtId="0" xfId="0" applyAlignment="1" applyBorder="1" applyFont="1">
      <alignment horizontal="center" readingOrder="0"/>
    </xf>
    <xf borderId="1" fillId="0" fontId="1" numFmtId="0" xfId="0" applyAlignment="1" applyBorder="1" applyFont="1">
      <alignment readingOrder="0"/>
    </xf>
    <xf borderId="0" fillId="0" fontId="1" numFmtId="0" xfId="0" applyAlignment="1" applyFont="1">
      <alignment readingOrder="0" vertical="center"/>
    </xf>
    <xf borderId="1" fillId="0" fontId="2" numFmtId="9" xfId="0" applyAlignment="1" applyBorder="1" applyFont="1" applyNumberFormat="1">
      <alignment horizontal="center" readingOrder="0"/>
    </xf>
    <xf borderId="0" fillId="0" fontId="1" numFmtId="9" xfId="0" applyAlignment="1" applyFont="1" applyNumberFormat="1">
      <alignment readingOrder="0"/>
    </xf>
    <xf borderId="1" fillId="0" fontId="1" numFmtId="1" xfId="0" applyAlignment="1" applyBorder="1" applyFont="1" applyNumberFormat="1">
      <alignment horizontal="center" readingOrder="0"/>
    </xf>
    <xf borderId="1" fillId="0" fontId="2" numFmtId="10" xfId="0" applyAlignment="1" applyBorder="1" applyFont="1" applyNumberFormat="1">
      <alignment horizontal="center" readingOrder="0"/>
    </xf>
    <xf borderId="0" fillId="0" fontId="1" numFmtId="0" xfId="0" applyAlignment="1" applyFont="1">
      <alignment readingOrder="0" shrinkToFit="0" wrapText="1"/>
    </xf>
    <xf borderId="0" fillId="0" fontId="1" numFmtId="1" xfId="0" applyAlignment="1" applyFont="1" applyNumberFormat="1">
      <alignment horizontal="center"/>
    </xf>
    <xf borderId="0" fillId="0" fontId="2" numFmtId="9" xfId="0" applyAlignment="1" applyFont="1" applyNumberFormat="1">
      <alignment horizontal="center" readingOrder="0"/>
    </xf>
    <xf borderId="0" fillId="0" fontId="1" numFmtId="1" xfId="0" applyFont="1" applyNumberFormat="1"/>
    <xf borderId="1" fillId="0" fontId="2" numFmtId="1" xfId="0" applyAlignment="1" applyBorder="1" applyFont="1" applyNumberFormat="1">
      <alignment horizontal="center" readingOrder="0"/>
    </xf>
    <xf borderId="1" fillId="0" fontId="2" numFmtId="1" xfId="0" applyAlignment="1" applyBorder="1" applyFont="1" applyNumberFormat="1">
      <alignment readingOrder="0"/>
    </xf>
    <xf borderId="2" fillId="2" fontId="2" numFmtId="0" xfId="0" applyAlignment="1" applyBorder="1" applyFill="1" applyFont="1">
      <alignment horizontal="center" readingOrder="0"/>
    </xf>
    <xf borderId="3" fillId="0" fontId="3" numFmtId="0" xfId="0" applyBorder="1" applyFont="1"/>
    <xf borderId="4" fillId="0" fontId="3" numFmtId="0" xfId="0" applyBorder="1" applyFont="1"/>
    <xf borderId="0" fillId="0" fontId="4" numFmtId="0" xfId="0" applyAlignment="1" applyFont="1">
      <alignment readingOrder="0" vertical="center"/>
    </xf>
    <xf borderId="0" fillId="0" fontId="1" numFmtId="0" xfId="0" applyAlignment="1" applyFont="1">
      <alignment horizontal="center" readingOrder="0"/>
    </xf>
    <xf borderId="2"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1" fillId="0" fontId="2" numFmtId="0" xfId="0" applyAlignment="1" applyBorder="1" applyFont="1">
      <alignment horizontal="center" readingOrder="0" shrinkToFit="0" vertical="center" wrapText="1"/>
    </xf>
    <xf borderId="2" fillId="0" fontId="2" numFmtId="0" xfId="0" applyAlignment="1" applyBorder="1" applyFont="1">
      <alignment horizontal="center" readingOrder="0" shrinkToFit="0" vertical="center" wrapText="1"/>
    </xf>
    <xf borderId="0" fillId="0" fontId="2" numFmtId="0" xfId="0" applyAlignment="1" applyFont="1">
      <alignment horizontal="center" readingOrder="0" shrinkToFit="0" vertical="center" wrapText="1"/>
    </xf>
    <xf borderId="5" fillId="3" fontId="2" numFmtId="0" xfId="0" applyAlignment="1" applyBorder="1" applyFill="1" applyFont="1">
      <alignment horizontal="center" readingOrder="0" shrinkToFit="0" vertical="center" wrapText="1"/>
    </xf>
    <xf borderId="0" fillId="4" fontId="6" numFmtId="0" xfId="0" applyAlignment="1" applyFill="1" applyFont="1">
      <alignment horizontal="center" readingOrder="0" shrinkToFit="0" wrapText="1"/>
    </xf>
    <xf borderId="6" fillId="0" fontId="3" numFmtId="0" xfId="0" applyBorder="1" applyFont="1"/>
    <xf borderId="5" fillId="0" fontId="1" numFmtId="164" xfId="0" applyAlignment="1" applyBorder="1" applyFont="1" applyNumberFormat="1">
      <alignment horizontal="center" readingOrder="0"/>
    </xf>
    <xf borderId="5" fillId="0" fontId="1" numFmtId="165" xfId="0" applyAlignment="1" applyBorder="1" applyFont="1" applyNumberFormat="1">
      <alignment horizontal="center" readingOrder="0"/>
    </xf>
    <xf borderId="7" fillId="0" fontId="1" numFmtId="164" xfId="0" applyAlignment="1" applyBorder="1" applyFont="1" applyNumberFormat="1">
      <alignment horizontal="center"/>
    </xf>
    <xf borderId="5" fillId="3" fontId="1" numFmtId="164" xfId="0" applyAlignment="1" applyBorder="1" applyFont="1" applyNumberFormat="1">
      <alignment horizontal="center" vertical="center"/>
    </xf>
    <xf borderId="0" fillId="0" fontId="1" numFmtId="0" xfId="0" applyAlignment="1" applyFont="1">
      <alignment horizontal="center" vertical="center"/>
    </xf>
    <xf borderId="8" fillId="0" fontId="3" numFmtId="0" xfId="0" applyBorder="1" applyFont="1"/>
    <xf borderId="9" fillId="0" fontId="3" numFmtId="0" xfId="0" applyBorder="1" applyFont="1"/>
    <xf borderId="10" fillId="0" fontId="3" numFmtId="0" xfId="0" applyBorder="1" applyFont="1"/>
    <xf borderId="11" fillId="0" fontId="3" numFmtId="0" xfId="0" applyBorder="1" applyFont="1"/>
    <xf borderId="12" fillId="0" fontId="3" numFmtId="0" xfId="0" applyBorder="1" applyFont="1"/>
    <xf borderId="13" fillId="4" fontId="6" numFmtId="0" xfId="0" applyAlignment="1" applyBorder="1" applyFont="1">
      <alignment horizontal="center" shrinkToFit="0" wrapText="1"/>
    </xf>
    <xf borderId="14" fillId="0" fontId="3" numFmtId="0" xfId="0" applyBorder="1" applyFont="1"/>
    <xf borderId="1" fillId="0" fontId="1" numFmtId="2" xfId="0" applyAlignment="1" applyBorder="1" applyFont="1" applyNumberFormat="1">
      <alignment horizontal="center"/>
    </xf>
    <xf borderId="1" fillId="0" fontId="1" numFmtId="0" xfId="0" applyAlignment="1" applyBorder="1" applyFont="1">
      <alignment horizontal="center"/>
    </xf>
    <xf borderId="5" fillId="0" fontId="1" numFmtId="165" xfId="0" applyAlignment="1" applyBorder="1" applyFont="1" applyNumberFormat="1">
      <alignment horizontal="center"/>
    </xf>
    <xf borderId="1" fillId="0" fontId="1" numFmtId="4" xfId="0" applyAlignment="1" applyBorder="1" applyFont="1" applyNumberFormat="1">
      <alignment horizontal="center" readingOrder="0"/>
    </xf>
    <xf borderId="1" fillId="5" fontId="1" numFmtId="166" xfId="0" applyBorder="1" applyFill="1" applyFont="1" applyNumberFormat="1"/>
    <xf borderId="1" fillId="6" fontId="1" numFmtId="0" xfId="0" applyBorder="1" applyFill="1" applyFont="1"/>
    <xf borderId="1" fillId="7" fontId="1" numFmtId="0" xfId="0" applyBorder="1" applyFill="1" applyFont="1"/>
    <xf borderId="1" fillId="8" fontId="1" numFmtId="0" xfId="0" applyBorder="1" applyFill="1" applyFont="1"/>
    <xf borderId="1" fillId="9" fontId="1" numFmtId="0" xfId="0" applyBorder="1" applyFill="1" applyFont="1"/>
    <xf borderId="1" fillId="10" fontId="1" numFmtId="167" xfId="0" applyBorder="1" applyFill="1" applyFont="1" applyNumberFormat="1"/>
    <xf borderId="5" fillId="6" fontId="2" numFmtId="0" xfId="0" applyAlignment="1" applyBorder="1" applyFont="1">
      <alignment horizontal="center" readingOrder="0" shrinkToFit="0" vertical="center" wrapText="1"/>
    </xf>
    <xf borderId="5" fillId="6" fontId="1" numFmtId="164" xfId="0" applyAlignment="1" applyBorder="1" applyFont="1" applyNumberFormat="1">
      <alignment horizontal="center" vertical="center"/>
    </xf>
    <xf borderId="5" fillId="7" fontId="2" numFmtId="0" xfId="0" applyAlignment="1" applyBorder="1" applyFont="1">
      <alignment horizontal="center" readingOrder="0" vertical="center"/>
    </xf>
    <xf borderId="5" fillId="7" fontId="1" numFmtId="164" xfId="0" applyAlignment="1" applyBorder="1" applyFont="1" applyNumberFormat="1">
      <alignment horizontal="center" vertical="center"/>
    </xf>
    <xf borderId="5" fillId="8" fontId="2" numFmtId="0" xfId="0" applyAlignment="1" applyBorder="1" applyFont="1">
      <alignment horizontal="center" readingOrder="0" vertical="center"/>
    </xf>
    <xf borderId="15" fillId="0" fontId="6" numFmtId="0" xfId="0" applyAlignment="1" applyBorder="1" applyFont="1">
      <alignment horizontal="center" shrinkToFit="0" wrapText="1"/>
    </xf>
    <xf borderId="16" fillId="0" fontId="3" numFmtId="0" xfId="0" applyBorder="1" applyFont="1"/>
    <xf borderId="1" fillId="0" fontId="1" numFmtId="164" xfId="0" applyAlignment="1" applyBorder="1" applyFont="1" applyNumberFormat="1">
      <alignment horizontal="center" readingOrder="0"/>
    </xf>
    <xf borderId="1" fillId="0" fontId="1" numFmtId="165" xfId="0" applyAlignment="1" applyBorder="1" applyFont="1" applyNumberFormat="1">
      <alignment horizontal="center" readingOrder="0"/>
    </xf>
    <xf borderId="2" fillId="0" fontId="1" numFmtId="164" xfId="0" applyAlignment="1" applyBorder="1" applyFont="1" applyNumberFormat="1">
      <alignment horizontal="center"/>
    </xf>
    <xf borderId="5" fillId="8" fontId="1" numFmtId="164" xfId="0" applyAlignment="1" applyBorder="1" applyFont="1" applyNumberFormat="1">
      <alignment horizontal="center" vertical="center"/>
    </xf>
    <xf borderId="1" fillId="0" fontId="1" numFmtId="165" xfId="0" applyAlignment="1" applyBorder="1" applyFont="1" applyNumberFormat="1">
      <alignment horizontal="center"/>
    </xf>
    <xf borderId="15" fillId="0" fontId="6" numFmtId="0" xfId="0" applyAlignment="1" applyBorder="1" applyFont="1">
      <alignment horizontal="center" vertical="bottom"/>
    </xf>
    <xf borderId="15" fillId="0" fontId="6" numFmtId="0" xfId="0" applyAlignment="1" applyBorder="1" applyFont="1">
      <alignment horizontal="center" shrinkToFit="0" vertical="bottom" wrapText="1"/>
    </xf>
    <xf borderId="5" fillId="9" fontId="2" numFmtId="0" xfId="0" applyAlignment="1" applyBorder="1" applyFont="1">
      <alignment horizontal="center" readingOrder="0" vertical="center"/>
    </xf>
    <xf borderId="5" fillId="9" fontId="1" numFmtId="164" xfId="0" applyAlignment="1" applyBorder="1" applyFont="1" applyNumberFormat="1">
      <alignment horizontal="center" vertical="center"/>
    </xf>
    <xf borderId="5" fillId="10" fontId="2" numFmtId="0" xfId="0" applyAlignment="1" applyBorder="1" applyFont="1">
      <alignment horizontal="center" readingOrder="0" vertical="center"/>
    </xf>
    <xf borderId="2" fillId="0" fontId="6" numFmtId="0" xfId="0" applyAlignment="1" applyBorder="1" applyFont="1">
      <alignment horizontal="center" vertical="bottom"/>
    </xf>
    <xf borderId="5" fillId="10" fontId="1" numFmtId="164" xfId="0" applyAlignment="1" applyBorder="1" applyFont="1" applyNumberFormat="1">
      <alignment horizontal="center" vertical="center"/>
    </xf>
    <xf borderId="2" fillId="0" fontId="6" numFmtId="0" xfId="0" applyAlignment="1" applyBorder="1" applyFont="1">
      <alignment horizontal="center" shrinkToFit="0" wrapText="1"/>
    </xf>
    <xf borderId="2" fillId="0" fontId="6" numFmtId="0" xfId="0" applyAlignment="1" applyBorder="1" applyFont="1">
      <alignment horizontal="center" shrinkToFit="0" vertical="bottom" wrapText="1"/>
    </xf>
    <xf borderId="0" fillId="0" fontId="1" numFmtId="164" xfId="0" applyFont="1" applyNumberFormat="1"/>
    <xf borderId="0" fillId="0" fontId="1" numFmtId="0" xfId="0" applyAlignment="1" applyFont="1">
      <alignment readingOrder="0"/>
    </xf>
    <xf borderId="1" fillId="0" fontId="2" numFmtId="1" xfId="0" applyAlignment="1" applyBorder="1" applyFont="1" applyNumberFormat="1">
      <alignment horizontal="center" readingOrder="0" shrinkToFit="0" wrapText="1"/>
    </xf>
    <xf borderId="1" fillId="0" fontId="1" numFmtId="164" xfId="0" applyBorder="1" applyFont="1" applyNumberFormat="1"/>
    <xf borderId="1" fillId="0" fontId="2" numFmtId="0" xfId="0" applyAlignment="1" applyBorder="1" applyFont="1">
      <alignment horizontal="center" readingOrder="0" shrinkToFit="0" wrapText="1"/>
    </xf>
    <xf borderId="1" fillId="0" fontId="1" numFmtId="164" xfId="0" applyAlignment="1" applyBorder="1" applyFont="1" applyNumberFormat="1">
      <alignment horizontal="center"/>
    </xf>
    <xf borderId="1" fillId="5" fontId="1" numFmtId="164" xfId="0" applyBorder="1" applyFont="1" applyNumberFormat="1"/>
    <xf borderId="2" fillId="11" fontId="7" numFmtId="0" xfId="0" applyAlignment="1" applyBorder="1" applyFill="1" applyFont="1">
      <alignment horizontal="center" readingOrder="0" vertical="bottom"/>
    </xf>
    <xf borderId="1" fillId="11" fontId="7" numFmtId="0" xfId="0" applyAlignment="1" applyBorder="1" applyFont="1">
      <alignment horizontal="center" readingOrder="0" vertical="bottom"/>
    </xf>
    <xf borderId="2" fillId="0" fontId="4" numFmtId="0" xfId="0" applyAlignment="1" applyBorder="1" applyFont="1">
      <alignment vertical="bottom"/>
    </xf>
    <xf borderId="1" fillId="0" fontId="4" numFmtId="164" xfId="0" applyAlignment="1" applyBorder="1" applyFont="1" applyNumberFormat="1">
      <alignment horizontal="right" vertical="bottom"/>
    </xf>
    <xf borderId="2" fillId="11" fontId="7" numFmtId="0" xfId="0" applyAlignment="1" applyBorder="1" applyFont="1">
      <alignment horizontal="center" vertical="bottom"/>
    </xf>
    <xf borderId="1" fillId="11" fontId="7" numFmtId="164" xfId="0" applyAlignment="1" applyBorder="1" applyFont="1" applyNumberFormat="1">
      <alignment horizontal="right" vertical="bottom"/>
    </xf>
    <xf borderId="2" fillId="11" fontId="5" numFmtId="0" xfId="0" applyAlignment="1" applyBorder="1" applyFont="1">
      <alignment horizontal="center" vertical="bottom"/>
    </xf>
    <xf borderId="2" fillId="0" fontId="5" numFmtId="0" xfId="0" applyAlignment="1" applyBorder="1" applyFont="1">
      <alignment horizontal="center" vertical="bottom"/>
    </xf>
    <xf borderId="1" fillId="0" fontId="5" numFmtId="0" xfId="0" applyAlignment="1" applyBorder="1" applyFont="1">
      <alignment vertical="bottom"/>
    </xf>
    <xf borderId="2" fillId="0" fontId="8" numFmtId="0" xfId="0" applyAlignment="1" applyBorder="1" applyFont="1">
      <alignment horizontal="center" readingOrder="0" shrinkToFit="0" vertical="bottom" wrapText="1"/>
    </xf>
    <xf borderId="1" fillId="0" fontId="6" numFmtId="164" xfId="0" applyAlignment="1" applyBorder="1" applyFont="1" applyNumberFormat="1">
      <alignment horizontal="center" readingOrder="0" shrinkToFit="0" vertical="bottom" wrapText="1"/>
    </xf>
    <xf borderId="1" fillId="0" fontId="6" numFmtId="164" xfId="0" applyAlignment="1" applyBorder="1" applyFont="1" applyNumberFormat="1">
      <alignment horizontal="right" vertical="bottom"/>
    </xf>
    <xf borderId="1" fillId="0" fontId="6" numFmtId="164" xfId="0" applyAlignment="1" applyBorder="1" applyFont="1" applyNumberFormat="1">
      <alignment horizontal="center" shrinkToFit="0" vertical="bottom" wrapText="1"/>
    </xf>
    <xf borderId="1" fillId="4" fontId="6" numFmtId="164" xfId="0" applyAlignment="1" applyBorder="1" applyFont="1" applyNumberFormat="1">
      <alignment horizontal="center" shrinkToFit="0" vertical="bottom" wrapText="1"/>
    </xf>
    <xf borderId="1" fillId="4" fontId="6" numFmtId="164" xfId="0" applyAlignment="1" applyBorder="1" applyFont="1" applyNumberFormat="1">
      <alignment horizontal="center" readingOrder="0" shrinkToFit="0" vertical="bottom" wrapText="1"/>
    </xf>
    <xf borderId="2" fillId="0" fontId="6" numFmtId="0" xfId="0" applyAlignment="1" applyBorder="1" applyFont="1">
      <alignment horizontal="center" readingOrder="0" shrinkToFit="0" vertical="bottom" wrapText="1"/>
    </xf>
    <xf borderId="2" fillId="11" fontId="9" numFmtId="0" xfId="0" applyAlignment="1" applyBorder="1" applyFont="1">
      <alignment horizontal="center" vertical="bottom"/>
    </xf>
    <xf borderId="2" fillId="0" fontId="4" numFmtId="0" xfId="0" applyAlignment="1" applyBorder="1" applyFont="1">
      <alignment horizontal="center" vertical="bottom"/>
    </xf>
    <xf borderId="1" fillId="0" fontId="4" numFmtId="164" xfId="0" applyAlignment="1" applyBorder="1" applyFont="1" applyNumberFormat="1">
      <alignment horizontal="center" vertical="bottom"/>
    </xf>
    <xf quotePrefix="1" borderId="2" fillId="0" fontId="4" numFmtId="0" xfId="0" applyAlignment="1" applyBorder="1" applyFont="1">
      <alignment horizontal="center" vertical="bottom"/>
    </xf>
    <xf borderId="1" fillId="11" fontId="7" numFmtId="164" xfId="0" applyAlignment="1" applyBorder="1" applyFont="1" applyNumberFormat="1">
      <alignment horizontal="center" vertical="bottom"/>
    </xf>
    <xf borderId="0" fillId="0" fontId="4" numFmtId="0" xfId="0" applyAlignment="1" applyFont="1">
      <alignment vertical="bottom"/>
    </xf>
    <xf borderId="2" fillId="0" fontId="10" numFmtId="0" xfId="0" applyAlignment="1" applyBorder="1" applyFont="1">
      <alignment horizontal="center" vertical="bottom"/>
    </xf>
    <xf borderId="1" fillId="0" fontId="4" numFmtId="164" xfId="0" applyAlignment="1" applyBorder="1" applyFont="1" applyNumberFormat="1">
      <alignment horizontal="center" readingOrder="0" vertical="bottom"/>
    </xf>
    <xf borderId="2" fillId="0" fontId="8" numFmtId="0" xfId="0" applyAlignment="1" applyBorder="1" applyFont="1">
      <alignment horizontal="center" shrinkToFit="0" vertical="bottom" wrapText="1"/>
    </xf>
    <xf borderId="2" fillId="0" fontId="6" numFmtId="0" xfId="0" applyAlignment="1" applyBorder="1" applyFont="1">
      <alignment horizontal="center" shrinkToFit="0" vertical="top" wrapText="1"/>
    </xf>
    <xf borderId="1" fillId="0" fontId="6" numFmtId="164" xfId="0" applyAlignment="1" applyBorder="1" applyFont="1" applyNumberFormat="1">
      <alignment horizontal="center" shrinkToFit="0" vertical="top" wrapText="1"/>
    </xf>
    <xf borderId="1" fillId="11" fontId="5" numFmtId="164" xfId="0" applyAlignment="1" applyBorder="1" applyFont="1" applyNumberFormat="1">
      <alignment horizontal="right" vertical="bottom"/>
    </xf>
    <xf borderId="2" fillId="0" fontId="5" numFmtId="0" xfId="0" applyAlignment="1" applyBorder="1" applyFont="1">
      <alignment horizontal="center" readingOrder="0"/>
    </xf>
    <xf borderId="2" fillId="11" fontId="5" numFmtId="0" xfId="0" applyAlignment="1" applyBorder="1" applyFont="1">
      <alignment horizontal="center" readingOrder="0" vertical="top"/>
    </xf>
    <xf borderId="1" fillId="11" fontId="5" numFmtId="0" xfId="0" applyAlignment="1" applyBorder="1" applyFont="1">
      <alignment horizontal="center" readingOrder="0" vertical="top"/>
    </xf>
    <xf borderId="2" fillId="4" fontId="6" numFmtId="0" xfId="0" applyAlignment="1" applyBorder="1" applyFont="1">
      <alignment vertical="top"/>
    </xf>
    <xf borderId="3" fillId="4" fontId="6" numFmtId="0" xfId="0" applyAlignment="1" applyBorder="1" applyFont="1">
      <alignment vertical="top"/>
    </xf>
    <xf borderId="1" fillId="0" fontId="6" numFmtId="164" xfId="0" applyAlignment="1" applyBorder="1" applyFont="1" applyNumberFormat="1">
      <alignment horizontal="right" vertical="top"/>
    </xf>
    <xf borderId="2" fillId="4" fontId="6" numFmtId="0" xfId="0" applyAlignment="1" applyBorder="1" applyFont="1">
      <alignment readingOrder="0" vertical="top"/>
    </xf>
    <xf borderId="2" fillId="2" fontId="5" numFmtId="0" xfId="0" applyAlignment="1" applyBorder="1" applyFont="1">
      <alignment readingOrder="0"/>
    </xf>
    <xf borderId="1" fillId="2" fontId="5" numFmtId="164" xfId="0" applyBorder="1" applyFont="1" applyNumberFormat="1"/>
    <xf borderId="2" fillId="0" fontId="7" numFmtId="0" xfId="0" applyAlignment="1" applyBorder="1" applyFont="1">
      <alignment horizontal="center" vertical="bottom"/>
    </xf>
    <xf borderId="7" fillId="11" fontId="7" numFmtId="0" xfId="0" applyAlignment="1" applyBorder="1" applyFont="1">
      <alignment horizontal="center" readingOrder="0" vertical="top"/>
    </xf>
    <xf borderId="17" fillId="0" fontId="3" numFmtId="0" xfId="0" applyBorder="1" applyFont="1"/>
    <xf borderId="1" fillId="11" fontId="7" numFmtId="0" xfId="0" applyAlignment="1" applyBorder="1" applyFont="1">
      <alignment horizontal="center" readingOrder="0" vertical="top"/>
    </xf>
    <xf borderId="3" fillId="4" fontId="6" numFmtId="0" xfId="0" applyAlignment="1" applyBorder="1" applyFont="1">
      <alignment vertical="bottom"/>
    </xf>
    <xf borderId="1" fillId="0" fontId="6" numFmtId="164" xfId="0" applyAlignment="1" applyBorder="1" applyFont="1" applyNumberFormat="1">
      <alignment horizontal="center" vertical="top"/>
    </xf>
    <xf borderId="2" fillId="4" fontId="6" numFmtId="0" xfId="0" applyAlignment="1" applyBorder="1" applyFont="1">
      <alignment shrinkToFit="0" vertical="top" wrapText="1"/>
    </xf>
    <xf borderId="1" fillId="0" fontId="6" numFmtId="164" xfId="0" applyAlignment="1" applyBorder="1" applyFont="1" applyNumberFormat="1">
      <alignment horizontal="center" vertical="bottom"/>
    </xf>
    <xf borderId="1" fillId="0" fontId="6" numFmtId="164" xfId="0" applyAlignment="1" applyBorder="1" applyFont="1" applyNumberFormat="1">
      <alignment horizontal="center" readingOrder="0" vertical="top"/>
    </xf>
    <xf borderId="2" fillId="11" fontId="5" numFmtId="0" xfId="0" applyAlignment="1" applyBorder="1" applyFont="1">
      <alignment vertical="bottom"/>
    </xf>
    <xf borderId="2" fillId="11" fontId="7" numFmtId="0" xfId="0" applyAlignment="1" applyBorder="1" applyFont="1">
      <alignment vertical="bottom"/>
    </xf>
    <xf borderId="3" fillId="11" fontId="4" numFmtId="0" xfId="0" applyAlignment="1" applyBorder="1" applyFont="1">
      <alignment vertical="bottom"/>
    </xf>
    <xf borderId="2" fillId="0" fontId="2" numFmtId="0" xfId="0" applyAlignment="1" applyBorder="1" applyFont="1">
      <alignment horizontal="center" readingOrder="0"/>
    </xf>
    <xf borderId="0" fillId="0" fontId="6" numFmtId="0" xfId="0" applyFont="1"/>
    <xf borderId="2" fillId="0" fontId="5" numFmtId="0" xfId="0" applyAlignment="1" applyBorder="1" applyFont="1">
      <alignment readingOrder="0"/>
    </xf>
    <xf borderId="1" fillId="0" fontId="5" numFmtId="0" xfId="0" applyAlignment="1" applyBorder="1" applyFont="1">
      <alignment readingOrder="0"/>
    </xf>
    <xf borderId="1" fillId="0" fontId="5" numFmtId="0" xfId="0" applyAlignment="1" applyBorder="1" applyFont="1">
      <alignment horizontal="center" readingOrder="0" shrinkToFit="0" wrapText="1"/>
    </xf>
    <xf borderId="1" fillId="0" fontId="5" numFmtId="0" xfId="0" applyAlignment="1" applyBorder="1" applyFont="1">
      <alignment readingOrder="0" shrinkToFit="0" wrapText="1"/>
    </xf>
    <xf borderId="5" fillId="0" fontId="6" numFmtId="0" xfId="0" applyAlignment="1" applyBorder="1" applyFont="1">
      <alignment readingOrder="0" shrinkToFit="0" vertical="center" wrapText="1"/>
    </xf>
    <xf borderId="1" fillId="12" fontId="6" numFmtId="0" xfId="0" applyAlignment="1" applyBorder="1" applyFill="1" applyFont="1">
      <alignment readingOrder="0"/>
    </xf>
    <xf borderId="1" fillId="12" fontId="6" numFmtId="0" xfId="0" applyBorder="1" applyFont="1"/>
    <xf borderId="1" fillId="0" fontId="6" numFmtId="164" xfId="0" applyAlignment="1" applyBorder="1" applyFont="1" applyNumberFormat="1">
      <alignment horizontal="center" readingOrder="0"/>
    </xf>
    <xf borderId="1" fillId="0" fontId="6" numFmtId="165" xfId="0" applyAlignment="1" applyBorder="1" applyFont="1" applyNumberFormat="1">
      <alignment horizontal="center" readingOrder="0"/>
    </xf>
    <xf borderId="1" fillId="0" fontId="6" numFmtId="164" xfId="0" applyAlignment="1" applyBorder="1" applyFont="1" applyNumberFormat="1">
      <alignment horizontal="center"/>
    </xf>
    <xf borderId="5" fillId="0" fontId="6" numFmtId="164" xfId="0" applyAlignment="1" applyBorder="1" applyFont="1" applyNumberFormat="1">
      <alignment horizontal="center" vertical="center"/>
    </xf>
    <xf borderId="5" fillId="0" fontId="1" numFmtId="164" xfId="0" applyBorder="1" applyFont="1" applyNumberFormat="1"/>
    <xf borderId="1" fillId="0" fontId="6" numFmtId="165" xfId="0" applyAlignment="1" applyBorder="1" applyFont="1" applyNumberFormat="1">
      <alignment horizontal="center"/>
    </xf>
    <xf borderId="1" fillId="13" fontId="6" numFmtId="0" xfId="0" applyAlignment="1" applyBorder="1" applyFill="1" applyFont="1">
      <alignment readingOrder="0"/>
    </xf>
    <xf borderId="1" fillId="13" fontId="6" numFmtId="0" xfId="0" applyBorder="1" applyFont="1"/>
    <xf borderId="5" fillId="0" fontId="6" numFmtId="0" xfId="0" applyAlignment="1" applyBorder="1" applyFont="1">
      <alignment readingOrder="0" vertical="center"/>
    </xf>
    <xf borderId="2" fillId="14" fontId="6" numFmtId="0" xfId="0" applyAlignment="1" applyBorder="1" applyFill="1" applyFont="1">
      <alignment readingOrder="0"/>
    </xf>
    <xf borderId="1" fillId="14" fontId="6" numFmtId="0" xfId="0" applyAlignment="1" applyBorder="1" applyFont="1">
      <alignment readingOrder="0"/>
    </xf>
    <xf borderId="1" fillId="14" fontId="6" numFmtId="0" xfId="0" applyBorder="1" applyFont="1"/>
    <xf borderId="1" fillId="15" fontId="6" numFmtId="0" xfId="0" applyAlignment="1" applyBorder="1" applyFill="1" applyFont="1">
      <alignment readingOrder="0"/>
    </xf>
    <xf borderId="1" fillId="15" fontId="6" numFmtId="0" xfId="0" applyBorder="1" applyFont="1"/>
    <xf borderId="2" fillId="15" fontId="6" numFmtId="0" xfId="0" applyAlignment="1" applyBorder="1" applyFont="1">
      <alignment readingOrder="0"/>
    </xf>
    <xf borderId="2" fillId="16" fontId="6" numFmtId="0" xfId="0" applyAlignment="1" applyBorder="1" applyFill="1" applyFont="1">
      <alignment readingOrder="0"/>
    </xf>
    <xf borderId="1" fillId="16" fontId="6" numFmtId="0" xfId="0" applyAlignment="1" applyBorder="1" applyFont="1">
      <alignment readingOrder="0"/>
    </xf>
    <xf borderId="1" fillId="16" fontId="6" numFmtId="0" xfId="0" applyBorder="1" applyFont="1"/>
    <xf borderId="5" fillId="0" fontId="1" numFmtId="0" xfId="0" applyAlignment="1" applyBorder="1" applyFont="1">
      <alignment readingOrder="0" vertical="center"/>
    </xf>
    <xf borderId="1" fillId="0" fontId="6" numFmtId="164" xfId="0" applyAlignment="1" applyBorder="1" applyFont="1" applyNumberFormat="1">
      <alignment horizontal="center" readingOrder="0"/>
    </xf>
    <xf borderId="1" fillId="0" fontId="6" numFmtId="164" xfId="0" applyBorder="1" applyFont="1" applyNumberFormat="1"/>
    <xf borderId="5" fillId="0" fontId="6" numFmtId="164" xfId="0" applyAlignment="1" applyBorder="1" applyFont="1" applyNumberFormat="1">
      <alignment horizontal="center" vertical="center"/>
    </xf>
    <xf borderId="5" fillId="0" fontId="1" numFmtId="164" xfId="0" applyAlignment="1" applyBorder="1" applyFont="1" applyNumberFormat="1">
      <alignment horizontal="center"/>
    </xf>
    <xf borderId="0" fillId="0" fontId="1" numFmtId="0" xfId="0" applyFont="1"/>
    <xf borderId="2" fillId="2" fontId="5" numFmtId="0" xfId="0" applyAlignment="1" applyBorder="1" applyFont="1">
      <alignment horizontal="center" readingOrder="0"/>
    </xf>
    <xf borderId="7" fillId="2" fontId="5" numFmtId="0" xfId="0" applyAlignment="1" applyBorder="1" applyFont="1">
      <alignment horizontal="center" readingOrder="0" vertical="center"/>
    </xf>
    <xf borderId="5" fillId="2" fontId="5" numFmtId="0" xfId="0" applyAlignment="1" applyBorder="1" applyFont="1">
      <alignment horizontal="center" readingOrder="0" vertical="center"/>
    </xf>
    <xf borderId="5" fillId="2" fontId="5" numFmtId="0" xfId="0" applyAlignment="1" applyBorder="1" applyFont="1">
      <alignment horizontal="center" readingOrder="0" shrinkToFit="0" vertical="center" wrapText="1"/>
    </xf>
    <xf borderId="5" fillId="2" fontId="5" numFmtId="0" xfId="0" applyAlignment="1" applyBorder="1" applyFont="1">
      <alignment horizontal="center" shrinkToFit="0" vertical="center" wrapText="1"/>
    </xf>
    <xf borderId="5" fillId="11" fontId="5" numFmtId="0" xfId="0" applyAlignment="1" applyBorder="1" applyFont="1">
      <alignment horizontal="center" readingOrder="0" shrinkToFit="0" vertical="bottom" wrapText="1"/>
    </xf>
    <xf borderId="7" fillId="11" fontId="5" numFmtId="0" xfId="0" applyAlignment="1" applyBorder="1" applyFont="1">
      <alignment horizontal="center" readingOrder="0" vertical="bottom"/>
    </xf>
    <xf borderId="18" fillId="0" fontId="3" numFmtId="0" xfId="0" applyBorder="1" applyFont="1"/>
    <xf borderId="5" fillId="11" fontId="5" numFmtId="0" xfId="0" applyAlignment="1" applyBorder="1" applyFont="1">
      <alignment horizontal="center" readingOrder="0" vertical="bottom"/>
    </xf>
    <xf borderId="19" fillId="0" fontId="3" numFmtId="0" xfId="0" applyBorder="1" applyFont="1"/>
    <xf borderId="2" fillId="11" fontId="5" numFmtId="0" xfId="0" applyAlignment="1" applyBorder="1" applyFont="1">
      <alignment horizontal="center" readingOrder="0" vertical="bottom"/>
    </xf>
    <xf borderId="1" fillId="11" fontId="5" numFmtId="0" xfId="0" applyAlignment="1" applyBorder="1" applyFont="1">
      <alignment readingOrder="0" vertical="bottom"/>
    </xf>
    <xf borderId="2" fillId="0" fontId="6" numFmtId="0" xfId="0" applyAlignment="1" applyBorder="1" applyFont="1">
      <alignment vertical="bottom"/>
    </xf>
    <xf borderId="3" fillId="0" fontId="6" numFmtId="0" xfId="0" applyAlignment="1" applyBorder="1" applyFont="1">
      <alignment vertical="bottom"/>
    </xf>
    <xf borderId="1" fillId="0" fontId="4" numFmtId="0" xfId="0" applyAlignment="1" applyBorder="1" applyFont="1">
      <alignment horizontal="center" vertical="bottom"/>
    </xf>
    <xf borderId="1" fillId="0" fontId="6" numFmtId="0" xfId="0" applyAlignment="1" applyBorder="1" applyFont="1">
      <alignment vertical="bottom"/>
    </xf>
    <xf borderId="2" fillId="0" fontId="6" numFmtId="9" xfId="0" applyAlignment="1" applyBorder="1" applyFont="1" applyNumberFormat="1">
      <alignment horizontal="center" readingOrder="0" vertical="bottom"/>
    </xf>
    <xf borderId="1" fillId="0" fontId="6" numFmtId="9" xfId="0" applyAlignment="1" applyBorder="1" applyFont="1" applyNumberFormat="1">
      <alignment horizontal="center" readingOrder="0" vertical="bottom"/>
    </xf>
    <xf borderId="1" fillId="0" fontId="6" numFmtId="0" xfId="0" applyAlignment="1" applyBorder="1" applyFont="1">
      <alignment vertical="center"/>
    </xf>
    <xf borderId="1" fillId="0" fontId="6" numFmtId="0" xfId="0" applyAlignment="1" applyBorder="1" applyFont="1">
      <alignment shrinkToFit="0" vertical="bottom" wrapText="1"/>
    </xf>
    <xf borderId="1" fillId="11" fontId="5" numFmtId="164" xfId="0" applyAlignment="1" applyBorder="1" applyFont="1" applyNumberFormat="1">
      <alignment horizontal="center" vertical="bottom"/>
    </xf>
    <xf borderId="2" fillId="2" fontId="5" numFmtId="0" xfId="0" applyAlignment="1" applyBorder="1" applyFont="1">
      <alignment horizontal="center" readingOrder="0" vertical="center"/>
    </xf>
    <xf borderId="5" fillId="2" fontId="5" numFmtId="0" xfId="0" applyAlignment="1" applyBorder="1" applyFont="1">
      <alignment horizontal="center" readingOrder="0" shrinkToFit="0" vertical="bottom" wrapText="1"/>
    </xf>
    <xf borderId="7" fillId="2" fontId="5" numFmtId="0" xfId="0" applyAlignment="1" applyBorder="1" applyFont="1">
      <alignment horizontal="center" readingOrder="0" vertical="bottom"/>
    </xf>
    <xf borderId="1" fillId="2" fontId="5" numFmtId="0" xfId="0" applyAlignment="1" applyBorder="1" applyFont="1">
      <alignment horizontal="center" readingOrder="0" vertical="center"/>
    </xf>
    <xf borderId="2" fillId="2" fontId="5" numFmtId="0" xfId="0" applyAlignment="1" applyBorder="1" applyFont="1">
      <alignment horizontal="center" readingOrder="0" vertical="bottom"/>
    </xf>
    <xf borderId="1" fillId="2" fontId="5" numFmtId="0" xfId="0" applyAlignment="1" applyBorder="1" applyFont="1">
      <alignment readingOrder="0" vertical="bottom"/>
    </xf>
    <xf borderId="1" fillId="0" fontId="6" numFmtId="0" xfId="0" applyAlignment="1" applyBorder="1" applyFont="1">
      <alignment horizontal="left" vertical="bottom"/>
    </xf>
    <xf borderId="2" fillId="0" fontId="6" numFmtId="164" xfId="0" applyAlignment="1" applyBorder="1" applyFont="1" applyNumberFormat="1">
      <alignment horizontal="center" readingOrder="0" vertical="bottom"/>
    </xf>
    <xf borderId="1" fillId="0" fontId="6" numFmtId="164" xfId="0" applyAlignment="1" applyBorder="1" applyFont="1" applyNumberFormat="1">
      <alignment horizontal="center" readingOrder="0" vertical="bottom"/>
    </xf>
    <xf borderId="1" fillId="0" fontId="5" numFmtId="0" xfId="0" applyAlignment="1" applyBorder="1" applyFont="1">
      <alignment horizontal="center" readingOrder="0"/>
    </xf>
    <xf borderId="2" fillId="2" fontId="5" numFmtId="0" xfId="0" applyAlignment="1" applyBorder="1" applyFont="1">
      <alignment horizontal="center" vertical="bottom"/>
    </xf>
    <xf borderId="5" fillId="0" fontId="5" numFmtId="0" xfId="0" applyAlignment="1" applyBorder="1" applyFont="1">
      <alignment horizontal="center" shrinkToFit="0" vertical="bottom" wrapText="1"/>
    </xf>
    <xf borderId="2" fillId="0" fontId="9" numFmtId="0" xfId="0" applyAlignment="1" applyBorder="1" applyFont="1">
      <alignment horizontal="center" vertical="bottom"/>
    </xf>
    <xf borderId="1" fillId="0" fontId="6" numFmtId="164" xfId="0" applyAlignment="1" applyBorder="1" applyFont="1" applyNumberFormat="1">
      <alignment horizontal="center"/>
    </xf>
    <xf borderId="1" fillId="0" fontId="5" numFmtId="0" xfId="0" applyAlignment="1" applyBorder="1" applyFont="1">
      <alignment horizontal="center" vertical="bottom"/>
    </xf>
    <xf borderId="11" fillId="0" fontId="5" numFmtId="0" xfId="0" applyAlignment="1" applyBorder="1" applyFont="1">
      <alignment horizontal="center" vertical="bottom"/>
    </xf>
    <xf borderId="1" fillId="0" fontId="5" numFmtId="0" xfId="0" applyAlignment="1" applyBorder="1" applyFont="1">
      <alignment horizontal="center" shrinkToFit="0" wrapText="1"/>
    </xf>
    <xf borderId="1" fillId="0" fontId="5" numFmtId="0" xfId="0" applyAlignment="1" applyBorder="1" applyFont="1">
      <alignment horizontal="center" shrinkToFit="0" vertical="bottom" wrapText="1"/>
    </xf>
    <xf borderId="1" fillId="0" fontId="5" numFmtId="168" xfId="0" applyAlignment="1" applyBorder="1" applyFont="1" applyNumberFormat="1">
      <alignment shrinkToFit="0" vertical="bottom" wrapText="1"/>
    </xf>
    <xf borderId="1" fillId="0" fontId="6" numFmtId="0" xfId="0" applyAlignment="1" applyBorder="1" applyFont="1">
      <alignment horizontal="center" vertical="bottom"/>
    </xf>
    <xf borderId="1" fillId="0" fontId="6" numFmtId="3" xfId="0" applyAlignment="1" applyBorder="1" applyFont="1" applyNumberFormat="1">
      <alignment horizontal="center" vertical="bottom"/>
    </xf>
    <xf borderId="11" fillId="0" fontId="6" numFmtId="0" xfId="0" applyAlignment="1" applyBorder="1" applyFont="1">
      <alignment horizontal="center" vertical="bottom"/>
    </xf>
    <xf borderId="11" fillId="0" fontId="6" numFmtId="168" xfId="0" applyAlignment="1" applyBorder="1" applyFont="1" applyNumberFormat="1">
      <alignment horizontal="center" vertical="bottom"/>
    </xf>
    <xf borderId="11" fillId="0" fontId="6" numFmtId="10" xfId="0" applyAlignment="1" applyBorder="1" applyFont="1" applyNumberFormat="1">
      <alignment horizontal="center" vertical="bottom"/>
    </xf>
    <xf borderId="11" fillId="0" fontId="6" numFmtId="9" xfId="0" applyAlignment="1" applyBorder="1" applyFont="1" applyNumberFormat="1">
      <alignment horizontal="center" vertical="bottom"/>
    </xf>
    <xf borderId="11" fillId="0" fontId="6" numFmtId="169" xfId="0" applyAlignment="1" applyBorder="1" applyFont="1" applyNumberFormat="1">
      <alignment horizontal="center" vertical="bottom"/>
    </xf>
    <xf borderId="11" fillId="0" fontId="6" numFmtId="170" xfId="0" applyAlignment="1" applyBorder="1" applyFont="1" applyNumberFormat="1">
      <alignment horizontal="center" vertical="bottom"/>
    </xf>
    <xf borderId="1" fillId="0" fontId="6" numFmtId="0" xfId="0" applyAlignment="1" applyBorder="1" applyFont="1">
      <alignment readingOrder="0" vertical="bottom"/>
    </xf>
    <xf borderId="11" fillId="0" fontId="6" numFmtId="0" xfId="0" applyAlignment="1" applyBorder="1" applyFont="1">
      <alignment horizontal="center" readingOrder="0" vertical="bottom"/>
    </xf>
    <xf borderId="1" fillId="0" fontId="2" numFmtId="168" xfId="0" applyBorder="1" applyFont="1" applyNumberFormat="1"/>
    <xf borderId="2" fillId="0" fontId="6" numFmtId="0" xfId="0" applyAlignment="1" applyBorder="1" applyFont="1">
      <alignment vertical="center"/>
    </xf>
    <xf borderId="1" fillId="0" fontId="6" numFmtId="0" xfId="0" applyAlignment="1" applyBorder="1" applyFont="1">
      <alignment horizontal="center" shrinkToFit="0" vertical="bottom" wrapText="1"/>
    </xf>
    <xf quotePrefix="1" borderId="1" fillId="0" fontId="6" numFmtId="0" xfId="0" applyAlignment="1" applyBorder="1" applyFont="1">
      <alignment horizontal="center" vertical="bottom"/>
    </xf>
    <xf borderId="1" fillId="2" fontId="5" numFmtId="0" xfId="0" applyAlignment="1" applyBorder="1" applyFont="1">
      <alignment horizontal="center" vertical="bottom"/>
    </xf>
    <xf borderId="1" fillId="2" fontId="5" numFmtId="164" xfId="0" applyAlignment="1" applyBorder="1" applyFont="1" applyNumberFormat="1">
      <alignment horizontal="center" vertical="bottom"/>
    </xf>
    <xf borderId="1" fillId="2" fontId="6" numFmtId="3" xfId="0" applyAlignment="1" applyBorder="1" applyFont="1" applyNumberFormat="1">
      <alignment vertical="bottom"/>
    </xf>
    <xf borderId="2" fillId="0" fontId="6" numFmtId="0" xfId="0" applyAlignment="1" applyBorder="1" applyFont="1">
      <alignment readingOrder="0" vertical="bottom"/>
    </xf>
    <xf borderId="2" fillId="0" fontId="6" numFmtId="0" xfId="0" applyAlignment="1" applyBorder="1" applyFont="1">
      <alignment readingOrder="0"/>
    </xf>
    <xf borderId="1" fillId="2" fontId="5" numFmtId="164" xfId="0" applyAlignment="1" applyBorder="1" applyFont="1" applyNumberFormat="1">
      <alignment horizontal="center"/>
    </xf>
    <xf borderId="5" fillId="0" fontId="5" numFmtId="0" xfId="0" applyAlignment="1" applyBorder="1" applyFont="1">
      <alignment horizontal="center" vertical="bottom"/>
    </xf>
    <xf borderId="1" fillId="0" fontId="1" numFmtId="168" xfId="0" applyBorder="1" applyFont="1" applyNumberFormat="1"/>
    <xf borderId="1" fillId="0" fontId="2" numFmtId="164" xfId="0" applyBorder="1" applyFont="1" applyNumberFormat="1"/>
    <xf borderId="2" fillId="0" fontId="1" numFmtId="0" xfId="0" applyAlignment="1" applyBorder="1" applyFont="1">
      <alignment readingOrder="0"/>
    </xf>
    <xf borderId="1" fillId="0" fontId="1" numFmtId="164" xfId="0" applyAlignment="1" applyBorder="1" applyFont="1" applyNumberFormat="1">
      <alignment readingOrder="0"/>
    </xf>
    <xf borderId="1" fillId="0" fontId="6" numFmtId="168" xfId="0" applyAlignment="1" applyBorder="1" applyFont="1" applyNumberFormat="1">
      <alignment vertical="bottom"/>
    </xf>
    <xf borderId="1" fillId="0" fontId="6" numFmtId="10" xfId="0" applyAlignment="1" applyBorder="1" applyFont="1" applyNumberFormat="1">
      <alignment vertical="bottom"/>
    </xf>
    <xf borderId="1" fillId="0" fontId="6" numFmtId="9" xfId="0" applyAlignment="1" applyBorder="1" applyFont="1" applyNumberFormat="1">
      <alignment vertical="bottom"/>
    </xf>
    <xf borderId="1" fillId="0" fontId="6" numFmtId="169" xfId="0" applyAlignment="1" applyBorder="1" applyFont="1" applyNumberFormat="1">
      <alignment vertical="bottom"/>
    </xf>
    <xf borderId="2" fillId="0" fontId="2" numFmtId="0" xfId="0" applyAlignment="1" applyBorder="1" applyFont="1">
      <alignment readingOrder="0"/>
    </xf>
    <xf borderId="1" fillId="17" fontId="5" numFmtId="0" xfId="0" applyAlignment="1" applyBorder="1" applyFill="1" applyFont="1">
      <alignment horizontal="center" shrinkToFit="0" wrapText="1"/>
    </xf>
    <xf borderId="1" fillId="17" fontId="5" numFmtId="0" xfId="0" applyAlignment="1" applyBorder="1" applyFont="1">
      <alignment horizontal="center" readingOrder="0"/>
    </xf>
    <xf borderId="1" fillId="18" fontId="6" numFmtId="0" xfId="0" applyAlignment="1" applyBorder="1" applyFill="1" applyFont="1">
      <alignment horizontal="center" readingOrder="0"/>
    </xf>
    <xf borderId="1" fillId="18" fontId="6" numFmtId="171" xfId="0" applyAlignment="1" applyBorder="1" applyFont="1" applyNumberFormat="1">
      <alignment horizontal="center" readingOrder="0"/>
    </xf>
    <xf borderId="1" fillId="4" fontId="6" numFmtId="0" xfId="0" applyAlignment="1" applyBorder="1" applyFont="1">
      <alignment horizontal="center" readingOrder="0"/>
    </xf>
    <xf borderId="1" fillId="4" fontId="6" numFmtId="171" xfId="0" applyAlignment="1" applyBorder="1" applyFont="1" applyNumberFormat="1">
      <alignment horizontal="center" readingOrder="0"/>
    </xf>
    <xf borderId="0" fillId="0" fontId="2" numFmtId="0" xfId="0" applyAlignment="1" applyFont="1">
      <alignment horizontal="center" readingOrder="0"/>
    </xf>
    <xf borderId="1" fillId="17" fontId="5" numFmtId="0" xfId="0" applyAlignment="1" applyBorder="1" applyFont="1">
      <alignment horizontal="center"/>
    </xf>
    <xf borderId="1" fillId="17" fontId="5" numFmtId="171" xfId="0" applyAlignment="1" applyBorder="1" applyFont="1" applyNumberFormat="1">
      <alignment horizontal="center"/>
    </xf>
    <xf borderId="0" fillId="0" fontId="5" numFmtId="0" xfId="0" applyAlignment="1" applyFont="1">
      <alignment horizontal="center" readingOrder="0"/>
    </xf>
    <xf borderId="1" fillId="2" fontId="5" numFmtId="0" xfId="0" applyAlignment="1" applyBorder="1" applyFont="1">
      <alignment horizontal="center" readingOrder="0"/>
    </xf>
    <xf borderId="2" fillId="2" fontId="7" numFmtId="0" xfId="0" applyAlignment="1" applyBorder="1" applyFont="1">
      <alignment horizontal="center" readingOrder="0" vertical="bottom"/>
    </xf>
    <xf borderId="1" fillId="2" fontId="7" numFmtId="164" xfId="0" applyAlignment="1" applyBorder="1" applyFont="1" applyNumberFormat="1">
      <alignment horizontal="center" vertical="bottom"/>
    </xf>
    <xf borderId="1" fillId="0" fontId="6" numFmtId="168" xfId="0" applyAlignment="1" applyBorder="1" applyFont="1" applyNumberFormat="1">
      <alignment horizontal="center" vertical="bottom"/>
    </xf>
    <xf borderId="1" fillId="0" fontId="6" numFmtId="10" xfId="0" applyAlignment="1" applyBorder="1" applyFont="1" applyNumberFormat="1">
      <alignment horizontal="center" vertical="bottom"/>
    </xf>
    <xf borderId="1" fillId="0" fontId="6" numFmtId="9" xfId="0" applyAlignment="1" applyBorder="1" applyFont="1" applyNumberFormat="1">
      <alignment horizontal="center" vertical="bottom"/>
    </xf>
    <xf borderId="1" fillId="0" fontId="6" numFmtId="169" xfId="0" applyAlignment="1" applyBorder="1" applyFont="1" applyNumberFormat="1">
      <alignment horizontal="center" vertical="bottom"/>
    </xf>
    <xf borderId="1" fillId="0" fontId="6" numFmtId="170" xfId="0" applyAlignment="1" applyBorder="1" applyFont="1" applyNumberFormat="1">
      <alignment horizontal="center" vertical="bottom"/>
    </xf>
    <xf borderId="19" fillId="0" fontId="4" numFmtId="0" xfId="0" applyAlignment="1" applyBorder="1" applyFont="1">
      <alignment vertical="bottom"/>
    </xf>
    <xf borderId="2" fillId="0" fontId="4" numFmtId="0" xfId="0" applyAlignment="1" applyBorder="1" applyFont="1">
      <alignment readingOrder="0" vertical="bottom"/>
    </xf>
    <xf borderId="3" fillId="0" fontId="4" numFmtId="0" xfId="0" applyAlignment="1" applyBorder="1" applyFont="1">
      <alignment vertical="bottom"/>
    </xf>
    <xf borderId="1" fillId="2" fontId="7" numFmtId="164" xfId="0" applyAlignment="1" applyBorder="1" applyFont="1" applyNumberFormat="1">
      <alignment horizontal="right" vertical="bottom"/>
    </xf>
    <xf borderId="2" fillId="2" fontId="7" numFmtId="0" xfId="0" applyAlignment="1" applyBorder="1" applyFont="1">
      <alignment horizontal="center" vertical="bottom"/>
    </xf>
    <xf borderId="0" fillId="4" fontId="7" numFmtId="0" xfId="0" applyAlignment="1" applyFont="1">
      <alignment horizontal="center" vertical="bottom"/>
    </xf>
    <xf borderId="0" fillId="4" fontId="7" numFmtId="0" xfId="0" applyAlignment="1" applyFont="1">
      <alignment horizontal="center" shrinkToFit="0" vertical="bottom" wrapText="1"/>
    </xf>
    <xf borderId="7" fillId="2" fontId="7" numFmtId="0" xfId="0" applyAlignment="1" applyBorder="1" applyFont="1">
      <alignment horizontal="center" readingOrder="0" vertical="center"/>
    </xf>
    <xf borderId="5" fillId="2" fontId="7" numFmtId="0" xfId="0" applyAlignment="1" applyBorder="1" applyFont="1">
      <alignment horizontal="center" readingOrder="0" vertical="center"/>
    </xf>
    <xf borderId="5" fillId="2" fontId="7" numFmtId="0" xfId="0" applyAlignment="1" applyBorder="1" applyFont="1">
      <alignment horizontal="center" readingOrder="0" shrinkToFit="0" vertical="center" wrapText="1"/>
    </xf>
    <xf borderId="20" fillId="0" fontId="3" numFmtId="0" xfId="0" applyBorder="1" applyFont="1"/>
    <xf borderId="2" fillId="4" fontId="6" numFmtId="0" xfId="0" applyAlignment="1" applyBorder="1" applyFont="1">
      <alignment vertical="bottom"/>
    </xf>
    <xf borderId="1" fillId="4" fontId="6" numFmtId="164" xfId="0" applyAlignment="1" applyBorder="1" applyFont="1" applyNumberFormat="1">
      <alignment horizontal="right" vertical="bottom"/>
    </xf>
    <xf borderId="4" fillId="4" fontId="6" numFmtId="164" xfId="0" applyAlignment="1" applyBorder="1" applyFont="1" applyNumberFormat="1">
      <alignment horizontal="right" vertical="bottom"/>
    </xf>
    <xf borderId="1" fillId="4" fontId="6" numFmtId="0" xfId="0" applyAlignment="1" applyBorder="1" applyFont="1">
      <alignment horizontal="right" vertical="bottom"/>
    </xf>
    <xf borderId="1" fillId="2" fontId="5" numFmtId="164" xfId="0" applyAlignment="1" applyBorder="1" applyFont="1" applyNumberFormat="1">
      <alignment horizontal="right" vertical="bottom"/>
    </xf>
    <xf borderId="7" fillId="0" fontId="7" numFmtId="0" xfId="0" applyAlignment="1" applyBorder="1" applyFont="1">
      <alignment horizontal="center" readingOrder="0" vertical="center"/>
    </xf>
    <xf borderId="5" fillId="0" fontId="7" numFmtId="0" xfId="0" applyAlignment="1" applyBorder="1" applyFont="1">
      <alignment horizontal="center" readingOrder="0" vertical="center"/>
    </xf>
    <xf borderId="0" fillId="0" fontId="4" numFmtId="0" xfId="0" applyAlignment="1" applyFont="1">
      <alignment readingOrder="0" vertical="bottom"/>
    </xf>
    <xf borderId="2" fillId="2" fontId="7" numFmtId="0" xfId="0" applyAlignment="1" applyBorder="1" applyFont="1">
      <alignment horizontal="left" readingOrder="0" vertical="bottom"/>
    </xf>
    <xf borderId="1" fillId="2" fontId="7" numFmtId="164" xfId="0" applyAlignment="1" applyBorder="1" applyFont="1" applyNumberFormat="1">
      <alignment horizontal="left" vertical="bottom"/>
    </xf>
    <xf borderId="0" fillId="0" fontId="4" numFmtId="164" xfId="0" applyAlignment="1" applyFont="1" applyNumberFormat="1">
      <alignment vertical="bottom"/>
    </xf>
    <xf borderId="2" fillId="0" fontId="7" numFmtId="0" xfId="0" applyAlignment="1" applyBorder="1" applyFont="1">
      <alignment vertical="bottom"/>
    </xf>
    <xf borderId="1" fillId="0" fontId="4" numFmtId="10" xfId="0" applyAlignment="1" applyBorder="1" applyFont="1" applyNumberFormat="1">
      <alignment horizontal="right" vertical="bottom"/>
    </xf>
    <xf borderId="1" fillId="0" fontId="7" numFmtId="164" xfId="0" applyAlignment="1" applyBorder="1" applyFont="1" applyNumberFormat="1">
      <alignment horizontal="right" vertical="bottom"/>
    </xf>
    <xf borderId="0" fillId="0" fontId="4" numFmtId="10" xfId="0" applyAlignment="1" applyFont="1" applyNumberFormat="1">
      <alignment vertical="bottom"/>
    </xf>
    <xf borderId="1" fillId="0" fontId="4" numFmtId="0" xfId="0" applyAlignment="1" applyBorder="1" applyFont="1">
      <alignment vertical="bottom"/>
    </xf>
    <xf borderId="1" fillId="2" fontId="5" numFmtId="0" xfId="0" applyAlignment="1" applyBorder="1" applyFont="1">
      <alignment horizontal="center" shrinkToFit="0" vertical="bottom" wrapText="1"/>
    </xf>
    <xf borderId="1" fillId="11" fontId="5" numFmtId="0" xfId="0" applyAlignment="1" applyBorder="1" applyFont="1">
      <alignment horizontal="center" vertical="bottom"/>
    </xf>
    <xf borderId="1" fillId="11" fontId="5" numFmtId="0" xfId="0" applyAlignment="1" applyBorder="1" applyFont="1">
      <alignment horizontal="center" shrinkToFit="0" vertical="center" wrapText="1"/>
    </xf>
    <xf borderId="1" fillId="0" fontId="5" numFmtId="164" xfId="0" applyAlignment="1" applyBorder="1" applyFont="1" applyNumberFormat="1">
      <alignment vertical="bottom"/>
    </xf>
    <xf borderId="1" fillId="0" fontId="6" numFmtId="164" xfId="0" applyAlignment="1" applyBorder="1" applyFont="1" applyNumberFormat="1">
      <alignment vertical="bottom"/>
    </xf>
    <xf borderId="1" fillId="0" fontId="6" numFmtId="164" xfId="0" applyAlignment="1" applyBorder="1" applyFont="1" applyNumberFormat="1">
      <alignment readingOrder="0" vertical="bottom"/>
    </xf>
    <xf borderId="1" fillId="11" fontId="5" numFmtId="164" xfId="0" applyAlignment="1" applyBorder="1" applyFont="1" applyNumberFormat="1">
      <alignment vertical="bottom"/>
    </xf>
    <xf borderId="1" fillId="11" fontId="4" numFmtId="0" xfId="0" applyAlignment="1" applyBorder="1" applyFont="1">
      <alignment vertical="bottom"/>
    </xf>
    <xf borderId="7" fillId="2" fontId="7" numFmtId="0" xfId="0" applyAlignment="1" applyBorder="1" applyFont="1">
      <alignment horizontal="center" readingOrder="0" vertical="bottom"/>
    </xf>
    <xf borderId="5" fillId="2" fontId="7" numFmtId="0" xfId="0" applyAlignment="1" applyBorder="1" applyFont="1">
      <alignment horizontal="center" readingOrder="0" vertical="bottom"/>
    </xf>
    <xf borderId="7" fillId="0" fontId="4" numFmtId="0" xfId="0" applyAlignment="1" applyBorder="1" applyFont="1">
      <alignment vertical="bottom"/>
    </xf>
    <xf borderId="17" fillId="0" fontId="4" numFmtId="0" xfId="0" applyAlignment="1" applyBorder="1" applyFont="1">
      <alignment vertical="bottom"/>
    </xf>
    <xf borderId="5" fillId="0" fontId="7" numFmtId="164" xfId="0" applyAlignment="1" applyBorder="1" applyFont="1" applyNumberFormat="1">
      <alignment horizontal="right" vertical="bottom"/>
    </xf>
    <xf borderId="2" fillId="2" fontId="4" numFmtId="0" xfId="0" applyAlignment="1" applyBorder="1" applyFont="1">
      <alignment vertical="bottom"/>
    </xf>
    <xf borderId="3" fillId="2" fontId="4" numFmtId="0" xfId="0" applyAlignment="1" applyBorder="1" applyFont="1">
      <alignment vertical="bottom"/>
    </xf>
    <xf borderId="12" fillId="0" fontId="4" numFmtId="0" xfId="0" applyAlignment="1" applyBorder="1" applyFont="1">
      <alignment vertical="bottom"/>
    </xf>
    <xf borderId="21" fillId="0" fontId="4" numFmtId="0" xfId="0" applyAlignment="1" applyBorder="1" applyFont="1">
      <alignment vertical="bottom"/>
    </xf>
    <xf borderId="12" fillId="2" fontId="7" numFmtId="0" xfId="0" applyAlignment="1" applyBorder="1" applyFont="1">
      <alignment horizontal="center" readingOrder="0" vertical="bottom"/>
    </xf>
    <xf borderId="21" fillId="0" fontId="3" numFmtId="0" xfId="0" applyBorder="1" applyFont="1"/>
    <xf borderId="11" fillId="2" fontId="7" numFmtId="164" xfId="0" applyAlignment="1" applyBorder="1" applyFont="1" applyNumberFormat="1">
      <alignment horizontal="right" vertical="bottom"/>
    </xf>
    <xf borderId="1" fillId="19" fontId="4" numFmtId="164" xfId="0" applyAlignment="1" applyBorder="1" applyFill="1" applyFont="1" applyNumberFormat="1">
      <alignment horizontal="right" vertical="bottom"/>
    </xf>
    <xf borderId="1" fillId="0" fontId="1" numFmtId="9" xfId="0" applyAlignment="1" applyBorder="1" applyFont="1" applyNumberFormat="1">
      <alignment readingOrder="0"/>
    </xf>
    <xf borderId="1" fillId="0" fontId="6" numFmtId="10" xfId="0" applyAlignment="1" applyBorder="1" applyFont="1" applyNumberFormat="1">
      <alignment horizontal="right" readingOrder="0" vertical="bottom"/>
    </xf>
    <xf borderId="0" fillId="0" fontId="6" numFmtId="169" xfId="0" applyAlignment="1" applyFont="1" applyNumberFormat="1">
      <alignment horizontal="center"/>
    </xf>
    <xf borderId="0" fillId="4" fontId="5" numFmtId="0" xfId="0" applyAlignment="1" applyFont="1">
      <alignment readingOrder="0" vertical="bottom"/>
    </xf>
    <xf borderId="1" fillId="0" fontId="6" numFmtId="164" xfId="0" applyBorder="1" applyFont="1" applyNumberFormat="1"/>
    <xf borderId="0" fillId="0" fontId="2" numFmtId="0" xfId="0" applyAlignment="1" applyFont="1">
      <alignment readingOrder="0"/>
    </xf>
    <xf borderId="0" fillId="0" fontId="5" numFmtId="0" xfId="0" applyAlignment="1" applyFont="1">
      <alignment readingOrder="0"/>
    </xf>
    <xf borderId="0" fillId="0" fontId="5" numFmtId="0" xfId="0" applyFont="1"/>
    <xf borderId="0" fillId="0" fontId="6" numFmtId="164" xfId="0" applyAlignment="1" applyFont="1" applyNumberFormat="1">
      <alignment horizontal="center"/>
    </xf>
    <xf borderId="0" fillId="0" fontId="6" numFmtId="0" xfId="0" applyAlignment="1" applyFont="1">
      <alignment horizontal="center" readingOrder="0"/>
    </xf>
    <xf borderId="0" fillId="0" fontId="6" numFmtId="10" xfId="0" applyAlignment="1" applyFont="1" applyNumberFormat="1">
      <alignment horizontal="center" readingOrder="0"/>
    </xf>
    <xf borderId="0" fillId="0" fontId="6" numFmtId="10" xfId="0" applyAlignment="1" applyFont="1" applyNumberFormat="1">
      <alignment horizontal="center"/>
    </xf>
    <xf borderId="0" fillId="0" fontId="6" numFmtId="0" xfId="0" applyAlignment="1" applyFont="1">
      <alignment readingOrder="0"/>
    </xf>
    <xf borderId="0" fillId="0" fontId="1" numFmtId="169" xfId="0" applyAlignment="1" applyFont="1" applyNumberFormat="1">
      <alignment horizontal="center"/>
    </xf>
    <xf borderId="1" fillId="2" fontId="6" numFmtId="164" xfId="0" applyBorder="1" applyFont="1" applyNumberFormat="1"/>
    <xf borderId="1" fillId="0" fontId="6" numFmtId="0" xfId="0" applyAlignment="1" applyBorder="1" applyFont="1">
      <alignment readingOrder="0"/>
    </xf>
    <xf borderId="1" fillId="0" fontId="6" numFmtId="0" xfId="0" applyBorder="1" applyFont="1"/>
    <xf borderId="0" fillId="0" fontId="6" numFmtId="9" xfId="0" applyAlignment="1" applyFont="1" applyNumberFormat="1">
      <alignment horizontal="center"/>
    </xf>
    <xf borderId="0" fillId="0" fontId="1" numFmtId="10" xfId="0" applyFont="1" applyNumberFormat="1"/>
    <xf borderId="1" fillId="0" fontId="6" numFmtId="9" xfId="0" applyAlignment="1" applyBorder="1" applyFont="1" applyNumberFormat="1">
      <alignment horizontal="center" readingOrder="0"/>
    </xf>
    <xf borderId="2" fillId="11" fontId="5" numFmtId="0" xfId="0" applyAlignment="1" applyBorder="1" applyFont="1">
      <alignment horizontal="center" readingOrder="0"/>
    </xf>
    <xf borderId="1" fillId="0" fontId="6" numFmtId="168" xfId="0" applyAlignment="1" applyBorder="1" applyFont="1" applyNumberFormat="1">
      <alignment horizontal="right" readingOrder="0" vertical="bottom"/>
    </xf>
    <xf quotePrefix="1" borderId="1" fillId="0" fontId="6" numFmtId="10" xfId="0" applyAlignment="1" applyBorder="1" applyFont="1" applyNumberFormat="1">
      <alignment horizontal="center" vertical="bottom"/>
    </xf>
    <xf borderId="1" fillId="0" fontId="6" numFmtId="168" xfId="0" applyAlignment="1" applyBorder="1" applyFont="1" applyNumberFormat="1">
      <alignment horizontal="right" vertical="bottom"/>
    </xf>
    <xf borderId="1" fillId="0" fontId="6" numFmtId="0" xfId="0" applyAlignment="1" applyBorder="1" applyFont="1">
      <alignment horizontal="center" readingOrder="0" vertical="bottom"/>
    </xf>
    <xf borderId="1" fillId="11" fontId="5" numFmtId="168" xfId="0" applyAlignment="1" applyBorder="1" applyFont="1" applyNumberFormat="1">
      <alignment horizontal="right" vertical="bottom"/>
    </xf>
    <xf borderId="4" fillId="11" fontId="5" numFmtId="168" xfId="0" applyAlignment="1" applyBorder="1" applyFont="1" applyNumberFormat="1">
      <alignment horizontal="right" vertical="bottom"/>
    </xf>
    <xf borderId="0" fillId="0" fontId="4" numFmtId="168" xfId="0" applyAlignment="1" applyFont="1" applyNumberFormat="1">
      <alignment vertical="bottom"/>
    </xf>
    <xf borderId="5" fillId="0" fontId="5" numFmtId="0" xfId="0" applyAlignment="1" applyBorder="1" applyFont="1">
      <alignment horizontal="center" readingOrder="0" shrinkToFit="0" vertical="bottom" wrapText="1"/>
    </xf>
    <xf borderId="1" fillId="2" fontId="2" numFmtId="168" xfId="0" applyBorder="1" applyFont="1" applyNumberFormat="1"/>
    <xf borderId="2" fillId="11" fontId="11" numFmtId="0" xfId="0" applyAlignment="1" applyBorder="1" applyFont="1">
      <alignment horizontal="center" vertical="bottom"/>
    </xf>
    <xf borderId="1" fillId="0" fontId="11" numFmtId="0" xfId="0" applyAlignment="1" applyBorder="1" applyFont="1">
      <alignment horizontal="center" vertical="bottom"/>
    </xf>
    <xf borderId="1" fillId="0" fontId="11" numFmtId="0" xfId="0" applyAlignment="1" applyBorder="1" applyFont="1">
      <alignment horizontal="center" shrinkToFit="0" vertical="bottom" wrapText="1"/>
    </xf>
    <xf borderId="1" fillId="0" fontId="12" numFmtId="0" xfId="0" applyAlignment="1" applyBorder="1" applyFont="1">
      <alignment horizontal="center" vertical="bottom"/>
    </xf>
    <xf borderId="1" fillId="0" fontId="12" numFmtId="164" xfId="0" applyAlignment="1" applyBorder="1" applyFont="1" applyNumberFormat="1">
      <alignment horizontal="center" vertical="bottom"/>
    </xf>
    <xf borderId="1" fillId="0" fontId="12" numFmtId="0" xfId="0" applyAlignment="1" applyBorder="1" applyFont="1">
      <alignment horizontal="center" shrinkToFit="0" vertical="bottom" wrapText="1"/>
    </xf>
    <xf borderId="1" fillId="0" fontId="12" numFmtId="0" xfId="0" applyAlignment="1" applyBorder="1" applyFont="1">
      <alignment horizontal="center" readingOrder="0" vertical="bottom"/>
    </xf>
    <xf borderId="0" fillId="0" fontId="12" numFmtId="0" xfId="0" applyFont="1"/>
    <xf borderId="1" fillId="11" fontId="11" numFmtId="164" xfId="0" applyAlignment="1" applyBorder="1" applyFont="1" applyNumberFormat="1">
      <alignment horizontal="center" vertical="bottom"/>
    </xf>
    <xf borderId="1" fillId="0" fontId="5" numFmtId="164" xfId="0" applyBorder="1" applyFont="1" applyNumberFormat="1"/>
    <xf borderId="1" fillId="11" fontId="10" numFmtId="0" xfId="0" applyAlignment="1" applyBorder="1" applyFont="1">
      <alignment readingOrder="0"/>
    </xf>
    <xf borderId="1" fillId="11" fontId="2" numFmtId="0" xfId="0" applyAlignment="1" applyBorder="1" applyFont="1">
      <alignment horizontal="center"/>
    </xf>
    <xf borderId="1" fillId="2" fontId="7" numFmtId="0" xfId="0" applyAlignment="1" applyBorder="1" applyFont="1">
      <alignment horizontal="center" readingOrder="0" shrinkToFit="0" vertical="center" wrapText="1"/>
    </xf>
    <xf borderId="1" fillId="2" fontId="7" numFmtId="0" xfId="0" applyAlignment="1" applyBorder="1" applyFont="1">
      <alignment horizontal="center" readingOrder="0" vertical="center"/>
    </xf>
    <xf borderId="1" fillId="4" fontId="4" numFmtId="0" xfId="0" applyAlignment="1" applyBorder="1" applyFont="1">
      <alignment vertical="bottom"/>
    </xf>
    <xf borderId="2" fillId="2" fontId="7" numFmtId="0" xfId="0" applyAlignment="1" applyBorder="1" applyFont="1">
      <alignment vertical="bottom"/>
    </xf>
    <xf borderId="1" fillId="2" fontId="4" numFmtId="0" xfId="0" applyAlignment="1" applyBorder="1" applyFont="1">
      <alignment vertical="bottom"/>
    </xf>
    <xf borderId="21" fillId="0" fontId="5" numFmtId="0" xfId="0" applyAlignment="1" applyBorder="1" applyFont="1">
      <alignment readingOrder="0" vertical="bottom"/>
    </xf>
    <xf borderId="7" fillId="4" fontId="6" numFmtId="0" xfId="0" applyAlignment="1" applyBorder="1" applyFont="1">
      <alignment readingOrder="0" vertical="bottom"/>
    </xf>
    <xf borderId="1" fillId="0" fontId="4" numFmtId="164" xfId="0" applyAlignment="1" applyBorder="1" applyFont="1" applyNumberFormat="1">
      <alignment horizontal="right" vertical="bottom"/>
    </xf>
    <xf borderId="2" fillId="4" fontId="6" numFmtId="0" xfId="0" applyAlignment="1" applyBorder="1" applyFont="1">
      <alignment readingOrder="0" vertical="bottom"/>
    </xf>
    <xf borderId="12" fillId="4" fontId="6" numFmtId="0" xfId="0" applyAlignment="1" applyBorder="1" applyFont="1">
      <alignment vertical="bottom"/>
    </xf>
    <xf borderId="18" fillId="4" fontId="6" numFmtId="0" xfId="0" applyAlignment="1" applyBorder="1" applyFont="1">
      <alignment vertical="bottom"/>
    </xf>
    <xf borderId="1" fillId="0" fontId="4" numFmtId="164" xfId="0" applyAlignment="1" applyBorder="1" applyFont="1" applyNumberFormat="1">
      <alignment horizontal="right" readingOrder="0" vertical="bottom"/>
    </xf>
    <xf borderId="2" fillId="2" fontId="5" numFmtId="0" xfId="0" applyAlignment="1" applyBorder="1" applyFont="1">
      <alignment vertical="bottom"/>
    </xf>
    <xf borderId="3" fillId="2" fontId="6" numFmtId="0" xfId="0" applyAlignment="1" applyBorder="1" applyFont="1">
      <alignment vertical="bottom"/>
    </xf>
    <xf borderId="4" fillId="2" fontId="6" numFmtId="0" xfId="0" applyAlignment="1" applyBorder="1" applyFont="1">
      <alignment vertical="bottom"/>
    </xf>
    <xf borderId="4" fillId="2" fontId="4" numFmtId="0" xfId="0" applyAlignment="1" applyBorder="1" applyFont="1">
      <alignment vertical="bottom"/>
    </xf>
    <xf borderId="1" fillId="2" fontId="7" numFmtId="164" xfId="0" applyAlignment="1" applyBorder="1" applyFont="1" applyNumberFormat="1">
      <alignment horizontal="right" vertical="bottom"/>
    </xf>
    <xf borderId="2" fillId="2" fontId="5" numFmtId="0" xfId="0" applyAlignment="1" applyBorder="1" applyFont="1">
      <alignment readingOrder="0" vertical="bottom"/>
    </xf>
    <xf borderId="0" fillId="4" fontId="5" numFmtId="0" xfId="0" applyAlignment="1" applyFont="1">
      <alignment vertical="bottom"/>
    </xf>
    <xf borderId="0" fillId="4" fontId="6" numFmtId="0" xfId="0" applyAlignment="1" applyFont="1">
      <alignment vertical="bottom"/>
    </xf>
    <xf borderId="0" fillId="4" fontId="4" numFmtId="0" xfId="0" applyAlignment="1" applyFont="1">
      <alignment vertical="bottom"/>
    </xf>
    <xf borderId="4" fillId="4" fontId="6" numFmtId="0" xfId="0" applyAlignment="1" applyBorder="1" applyFont="1">
      <alignment vertical="bottom"/>
    </xf>
    <xf borderId="4" fillId="0" fontId="4" numFmtId="0" xfId="0" applyAlignment="1" applyBorder="1" applyFont="1">
      <alignment vertical="bottom"/>
    </xf>
    <xf borderId="1" fillId="2" fontId="7" numFmtId="0" xfId="0" applyAlignment="1" applyBorder="1" applyFont="1">
      <alignment horizontal="right" vertical="bottom"/>
    </xf>
    <xf borderId="5" fillId="2" fontId="7" numFmtId="0" xfId="0" applyAlignment="1" applyBorder="1" applyFont="1">
      <alignment horizontal="center" vertical="bottom"/>
    </xf>
    <xf borderId="21" fillId="4" fontId="4" numFmtId="0" xfId="0" applyAlignment="1" applyBorder="1" applyFont="1">
      <alignment vertical="bottom"/>
    </xf>
    <xf borderId="20" fillId="4" fontId="4" numFmtId="0" xfId="0" applyAlignment="1" applyBorder="1" applyFont="1">
      <alignment vertical="bottom"/>
    </xf>
    <xf borderId="8" fillId="2" fontId="7" numFmtId="0" xfId="0" applyAlignment="1" applyBorder="1" applyFont="1">
      <alignment horizontal="center" vertical="bottom"/>
    </xf>
    <xf borderId="4" fillId="0" fontId="4" numFmtId="164" xfId="0" applyAlignment="1" applyBorder="1" applyFont="1" applyNumberFormat="1">
      <alignment horizontal="right" vertical="bottom"/>
    </xf>
    <xf borderId="12" fillId="4" fontId="4" numFmtId="0" xfId="0" applyAlignment="1" applyBorder="1" applyFont="1">
      <alignment vertical="bottom"/>
    </xf>
    <xf borderId="4" fillId="0" fontId="4" numFmtId="164" xfId="0" applyAlignment="1" applyBorder="1" applyFont="1" applyNumberFormat="1">
      <alignment horizontal="center" vertical="bottom"/>
    </xf>
    <xf borderId="2" fillId="4" fontId="4" numFmtId="0" xfId="0" applyAlignment="1" applyBorder="1" applyFont="1">
      <alignment vertical="bottom"/>
    </xf>
    <xf borderId="3" fillId="4" fontId="4" numFmtId="0" xfId="0" applyAlignment="1" applyBorder="1" applyFont="1">
      <alignment vertical="bottom"/>
    </xf>
    <xf borderId="1" fillId="0" fontId="4" numFmtId="0" xfId="0" applyAlignment="1" applyBorder="1" applyFont="1">
      <alignment horizontal="right" vertical="bottom"/>
    </xf>
    <xf borderId="12" fillId="2" fontId="7" numFmtId="0" xfId="0" applyAlignment="1" applyBorder="1" applyFont="1">
      <alignment vertical="bottom"/>
    </xf>
    <xf borderId="4" fillId="2" fontId="7" numFmtId="164" xfId="0" applyAlignment="1" applyBorder="1" applyFont="1" applyNumberFormat="1">
      <alignment horizontal="right" vertical="bottom"/>
    </xf>
    <xf borderId="1" fillId="0" fontId="4" numFmtId="164" xfId="0" applyAlignment="1" applyBorder="1" applyFont="1" applyNumberFormat="1">
      <alignment vertical="bottom"/>
    </xf>
    <xf borderId="20" fillId="2" fontId="7" numFmtId="164" xfId="0" applyAlignment="1" applyBorder="1" applyFont="1" applyNumberFormat="1">
      <alignment horizontal="right" vertical="bottom"/>
    </xf>
    <xf borderId="2" fillId="20" fontId="5" numFmtId="0" xfId="0" applyAlignment="1" applyBorder="1" applyFill="1" applyFont="1">
      <alignment horizontal="center" vertical="bottom"/>
    </xf>
    <xf borderId="0" fillId="0" fontId="6" numFmtId="0" xfId="0" applyAlignment="1" applyFont="1">
      <alignment vertical="bottom"/>
    </xf>
    <xf borderId="7" fillId="0" fontId="5" numFmtId="0" xfId="0" applyAlignment="1" applyBorder="1" applyFont="1">
      <alignment horizontal="center" vertical="bottom"/>
    </xf>
    <xf borderId="5" fillId="0" fontId="5" numFmtId="0" xfId="0" applyAlignment="1" applyBorder="1" applyFont="1">
      <alignment horizontal="center" shrinkToFit="0" wrapText="1"/>
    </xf>
    <xf borderId="1" fillId="0" fontId="6" numFmtId="10" xfId="0" applyAlignment="1" applyBorder="1" applyFont="1" applyNumberFormat="1">
      <alignment readingOrder="0"/>
    </xf>
    <xf borderId="4" fillId="20" fontId="5" numFmtId="164" xfId="0" applyAlignment="1" applyBorder="1" applyFont="1" applyNumberFormat="1">
      <alignment horizontal="center" vertical="bottom"/>
    </xf>
    <xf borderId="1" fillId="20" fontId="5" numFmtId="0" xfId="0" applyAlignment="1" applyBorder="1" applyFont="1">
      <alignment readingOrder="0"/>
    </xf>
    <xf borderId="1" fillId="20" fontId="6" numFmtId="9" xfId="0" applyBorder="1" applyFont="1" applyNumberFormat="1"/>
    <xf borderId="1" fillId="20" fontId="6" numFmtId="164" xfId="0" applyBorder="1" applyFont="1" applyNumberFormat="1"/>
    <xf borderId="0" fillId="0" fontId="6" numFmtId="164" xfId="0" applyFont="1" applyNumberFormat="1"/>
    <xf borderId="2" fillId="20" fontId="5" numFmtId="0" xfId="0" applyAlignment="1" applyBorder="1" applyFont="1">
      <alignment horizontal="center" readingOrder="0"/>
    </xf>
    <xf borderId="1" fillId="0" fontId="5" numFmtId="172" xfId="0" applyAlignment="1" applyBorder="1" applyFont="1" applyNumberFormat="1">
      <alignment horizontal="center"/>
    </xf>
    <xf borderId="1" fillId="0" fontId="5" numFmtId="172" xfId="0" applyAlignment="1" applyBorder="1" applyFont="1" applyNumberFormat="1">
      <alignment horizontal="center" vertical="bottom"/>
    </xf>
    <xf borderId="1" fillId="0" fontId="5" numFmtId="173" xfId="0" applyAlignment="1" applyBorder="1" applyFont="1" applyNumberFormat="1">
      <alignment horizontal="center" vertical="bottom"/>
    </xf>
    <xf borderId="1" fillId="0" fontId="6" numFmtId="0" xfId="0" applyAlignment="1" applyBorder="1" applyFont="1">
      <alignment horizontal="center" readingOrder="0"/>
    </xf>
    <xf borderId="1" fillId="0" fontId="6" numFmtId="0" xfId="0" applyAlignment="1" applyBorder="1" applyFont="1">
      <alignment horizontal="center"/>
    </xf>
    <xf borderId="1" fillId="20" fontId="6" numFmtId="0" xfId="0" applyAlignment="1" applyBorder="1" applyFont="1">
      <alignment horizontal="center" readingOrder="0" vertical="bottom"/>
    </xf>
    <xf borderId="1" fillId="20" fontId="6" numFmtId="1" xfId="0" applyAlignment="1" applyBorder="1" applyFont="1" applyNumberFormat="1">
      <alignment horizontal="center" vertical="bottom"/>
    </xf>
    <xf borderId="0" fillId="0" fontId="5" numFmtId="0" xfId="0" applyAlignment="1" applyFont="1">
      <alignment horizontal="center" vertical="bottom"/>
    </xf>
    <xf borderId="0" fillId="0" fontId="5" numFmtId="1" xfId="0" applyAlignment="1" applyFont="1" applyNumberFormat="1">
      <alignment horizontal="center" vertical="bottom"/>
    </xf>
    <xf borderId="2" fillId="21" fontId="5" numFmtId="9" xfId="0" applyAlignment="1" applyBorder="1" applyFill="1" applyFont="1" applyNumberFormat="1">
      <alignment horizontal="center" vertical="bottom"/>
    </xf>
    <xf borderId="1" fillId="22" fontId="5" numFmtId="9" xfId="0" applyAlignment="1" applyBorder="1" applyFill="1" applyFont="1" applyNumberFormat="1">
      <alignment horizontal="center" vertical="bottom"/>
    </xf>
    <xf borderId="2" fillId="21" fontId="5" numFmtId="9" xfId="0" applyAlignment="1" applyBorder="1" applyFont="1" applyNumberFormat="1">
      <alignment horizontal="center" readingOrder="0" vertical="bottom"/>
    </xf>
    <xf borderId="2" fillId="21" fontId="5" numFmtId="0" xfId="0" applyAlignment="1" applyBorder="1" applyFont="1">
      <alignment horizontal="center" readingOrder="0" vertical="bottom"/>
    </xf>
    <xf borderId="2" fillId="0" fontId="6" numFmtId="164" xfId="0" applyAlignment="1" applyBorder="1" applyFont="1" applyNumberFormat="1">
      <alignment horizontal="center"/>
    </xf>
    <xf borderId="2" fillId="0" fontId="6" numFmtId="9" xfId="0" applyAlignment="1" applyBorder="1" applyFont="1" applyNumberForma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38100</xdr:colOff>
      <xdr:row>0</xdr:row>
      <xdr:rowOff>0</xdr:rowOff>
    </xdr:from>
    <xdr:ext cx="1905000" cy="233362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5" max="5" width="15.5"/>
    <col customWidth="1" min="6" max="6" width="14.75"/>
    <col customWidth="1" min="7" max="7" width="13.88"/>
    <col customWidth="1" min="8" max="8" width="14.88"/>
    <col customWidth="1" min="17" max="17" width="13.25"/>
  </cols>
  <sheetData>
    <row r="3">
      <c r="D3" s="1" t="s">
        <v>0</v>
      </c>
    </row>
    <row r="6">
      <c r="D6" s="2" t="s">
        <v>1</v>
      </c>
      <c r="E6" s="3" t="s">
        <v>2</v>
      </c>
      <c r="F6" s="3" t="s">
        <v>3</v>
      </c>
      <c r="G6" s="3" t="s">
        <v>4</v>
      </c>
      <c r="H6" s="3" t="s">
        <v>5</v>
      </c>
      <c r="I6" s="3" t="s">
        <v>6</v>
      </c>
      <c r="J6" s="3" t="s">
        <v>7</v>
      </c>
      <c r="K6" s="3" t="s">
        <v>8</v>
      </c>
      <c r="L6" s="3" t="s">
        <v>9</v>
      </c>
      <c r="M6" s="3" t="s">
        <v>10</v>
      </c>
      <c r="N6" s="3" t="s">
        <v>11</v>
      </c>
      <c r="O6" s="3" t="s">
        <v>12</v>
      </c>
    </row>
    <row r="7">
      <c r="C7" s="2">
        <v>2023.0</v>
      </c>
      <c r="D7" s="4">
        <v>224162.0</v>
      </c>
      <c r="E7" s="5">
        <v>153915.0</v>
      </c>
      <c r="F7" s="5">
        <v>181847.0</v>
      </c>
      <c r="G7" s="5">
        <v>202300.0</v>
      </c>
      <c r="H7" s="5">
        <v>181078.0</v>
      </c>
      <c r="I7" s="5">
        <v>212144.0</v>
      </c>
      <c r="J7" s="5">
        <v>214267.0</v>
      </c>
      <c r="K7" s="5">
        <v>196001.0</v>
      </c>
      <c r="L7" s="5">
        <v>182076.0</v>
      </c>
      <c r="M7" s="5">
        <v>180896.0</v>
      </c>
      <c r="N7" s="5">
        <v>185800.0</v>
      </c>
      <c r="O7" s="5">
        <v>229163.0</v>
      </c>
    </row>
    <row r="9">
      <c r="D9" s="6" t="s">
        <v>13</v>
      </c>
    </row>
    <row r="12">
      <c r="D12" s="2" t="s">
        <v>1</v>
      </c>
      <c r="E12" s="3" t="s">
        <v>2</v>
      </c>
      <c r="F12" s="3" t="s">
        <v>3</v>
      </c>
      <c r="G12" s="3" t="s">
        <v>4</v>
      </c>
      <c r="H12" s="3" t="s">
        <v>5</v>
      </c>
      <c r="I12" s="3" t="s">
        <v>6</v>
      </c>
      <c r="J12" s="3" t="s">
        <v>7</v>
      </c>
      <c r="K12" s="3" t="s">
        <v>8</v>
      </c>
      <c r="L12" s="3" t="s">
        <v>9</v>
      </c>
      <c r="M12" s="3" t="s">
        <v>10</v>
      </c>
      <c r="N12" s="3" t="s">
        <v>11</v>
      </c>
      <c r="O12" s="3" t="s">
        <v>12</v>
      </c>
    </row>
    <row r="13">
      <c r="A13" s="7">
        <v>0.03</v>
      </c>
      <c r="B13" s="8"/>
      <c r="C13" s="2">
        <v>2025.0</v>
      </c>
      <c r="D13" s="9">
        <f t="shared" ref="D13:O13" si="1">D7*(1+$A$13)</f>
        <v>230886.86</v>
      </c>
      <c r="E13" s="9">
        <f t="shared" si="1"/>
        <v>158532.45</v>
      </c>
      <c r="F13" s="9">
        <f t="shared" si="1"/>
        <v>187302.41</v>
      </c>
      <c r="G13" s="9">
        <f t="shared" si="1"/>
        <v>208369</v>
      </c>
      <c r="H13" s="9">
        <f t="shared" si="1"/>
        <v>186510.34</v>
      </c>
      <c r="I13" s="9">
        <f t="shared" si="1"/>
        <v>218508.32</v>
      </c>
      <c r="J13" s="9">
        <f t="shared" si="1"/>
        <v>220695.01</v>
      </c>
      <c r="K13" s="9">
        <f t="shared" si="1"/>
        <v>201881.03</v>
      </c>
      <c r="L13" s="9">
        <f t="shared" si="1"/>
        <v>187538.28</v>
      </c>
      <c r="M13" s="9">
        <f t="shared" si="1"/>
        <v>186322.88</v>
      </c>
      <c r="N13" s="9">
        <f t="shared" si="1"/>
        <v>191374</v>
      </c>
      <c r="O13" s="9">
        <f t="shared" si="1"/>
        <v>236037.89</v>
      </c>
    </row>
    <row r="16">
      <c r="D16" s="1" t="s">
        <v>14</v>
      </c>
    </row>
    <row r="18">
      <c r="A18" s="10">
        <v>0.419</v>
      </c>
    </row>
    <row r="19">
      <c r="D19" s="2" t="s">
        <v>1</v>
      </c>
      <c r="E19" s="3" t="s">
        <v>2</v>
      </c>
      <c r="F19" s="3" t="s">
        <v>3</v>
      </c>
      <c r="G19" s="3" t="s">
        <v>4</v>
      </c>
      <c r="H19" s="3" t="s">
        <v>5</v>
      </c>
      <c r="I19" s="3" t="s">
        <v>6</v>
      </c>
      <c r="J19" s="3" t="s">
        <v>7</v>
      </c>
      <c r="K19" s="3" t="s">
        <v>8</v>
      </c>
      <c r="L19" s="3" t="s">
        <v>9</v>
      </c>
      <c r="M19" s="3" t="s">
        <v>10</v>
      </c>
      <c r="N19" s="3" t="s">
        <v>11</v>
      </c>
      <c r="O19" s="3" t="s">
        <v>12</v>
      </c>
    </row>
    <row r="20">
      <c r="C20" s="2">
        <v>2025.0</v>
      </c>
      <c r="D20" s="9">
        <f t="shared" ref="D20:O20" si="2">D13*$A$18</f>
        <v>96741.59434</v>
      </c>
      <c r="E20" s="9">
        <f t="shared" si="2"/>
        <v>66425.09655</v>
      </c>
      <c r="F20" s="9">
        <f t="shared" si="2"/>
        <v>78479.70979</v>
      </c>
      <c r="G20" s="9">
        <f t="shared" si="2"/>
        <v>87306.611</v>
      </c>
      <c r="H20" s="9">
        <f t="shared" si="2"/>
        <v>78147.83246</v>
      </c>
      <c r="I20" s="9">
        <f t="shared" si="2"/>
        <v>91554.98608</v>
      </c>
      <c r="J20" s="9">
        <f t="shared" si="2"/>
        <v>92471.20919</v>
      </c>
      <c r="K20" s="9">
        <f t="shared" si="2"/>
        <v>84588.15157</v>
      </c>
      <c r="L20" s="9">
        <f t="shared" si="2"/>
        <v>78578.53932</v>
      </c>
      <c r="M20" s="9">
        <f t="shared" si="2"/>
        <v>78069.28672</v>
      </c>
      <c r="N20" s="9">
        <f t="shared" si="2"/>
        <v>80185.706</v>
      </c>
      <c r="O20" s="9">
        <f t="shared" si="2"/>
        <v>98899.87591</v>
      </c>
    </row>
    <row r="23">
      <c r="D23" s="1" t="s">
        <v>15</v>
      </c>
    </row>
    <row r="26">
      <c r="D26" s="2" t="s">
        <v>1</v>
      </c>
      <c r="E26" s="3" t="s">
        <v>2</v>
      </c>
      <c r="F26" s="3" t="s">
        <v>3</v>
      </c>
      <c r="G26" s="3" t="s">
        <v>4</v>
      </c>
      <c r="H26" s="3" t="s">
        <v>5</v>
      </c>
      <c r="I26" s="3" t="s">
        <v>6</v>
      </c>
      <c r="J26" s="3" t="s">
        <v>7</v>
      </c>
      <c r="K26" s="3" t="s">
        <v>8</v>
      </c>
      <c r="L26" s="3" t="s">
        <v>9</v>
      </c>
      <c r="M26" s="3" t="s">
        <v>10</v>
      </c>
      <c r="N26" s="3" t="s">
        <v>11</v>
      </c>
      <c r="O26" s="3" t="s">
        <v>12</v>
      </c>
    </row>
    <row r="27">
      <c r="A27" s="7">
        <v>0.83</v>
      </c>
      <c r="C27" s="2">
        <v>2025.0</v>
      </c>
      <c r="D27" s="9">
        <f t="shared" ref="D27:O27" si="3">D20*$A$27</f>
        <v>80295.5233</v>
      </c>
      <c r="E27" s="9">
        <f t="shared" si="3"/>
        <v>55132.83014</v>
      </c>
      <c r="F27" s="9">
        <f t="shared" si="3"/>
        <v>65138.15913</v>
      </c>
      <c r="G27" s="9">
        <f t="shared" si="3"/>
        <v>72464.48713</v>
      </c>
      <c r="H27" s="9">
        <f t="shared" si="3"/>
        <v>64862.70094</v>
      </c>
      <c r="I27" s="9">
        <f t="shared" si="3"/>
        <v>75990.63845</v>
      </c>
      <c r="J27" s="9">
        <f t="shared" si="3"/>
        <v>76751.10363</v>
      </c>
      <c r="K27" s="9">
        <f t="shared" si="3"/>
        <v>70208.1658</v>
      </c>
      <c r="L27" s="9">
        <f t="shared" si="3"/>
        <v>65220.18764</v>
      </c>
      <c r="M27" s="9">
        <f t="shared" si="3"/>
        <v>64797.50798</v>
      </c>
      <c r="N27" s="9">
        <f t="shared" si="3"/>
        <v>66554.13598</v>
      </c>
      <c r="O27" s="9">
        <f t="shared" si="3"/>
        <v>82086.89701</v>
      </c>
    </row>
    <row r="30">
      <c r="D30" s="11" t="s">
        <v>16</v>
      </c>
    </row>
    <row r="32">
      <c r="A32" s="12"/>
    </row>
    <row r="33">
      <c r="A33" s="7">
        <v>0.07</v>
      </c>
    </row>
    <row r="34">
      <c r="A34" s="13"/>
      <c r="C34" s="14"/>
      <c r="D34" s="15" t="s">
        <v>1</v>
      </c>
      <c r="E34" s="16" t="s">
        <v>2</v>
      </c>
      <c r="F34" s="16" t="s">
        <v>3</v>
      </c>
      <c r="G34" s="16" t="s">
        <v>4</v>
      </c>
      <c r="H34" s="16" t="s">
        <v>5</v>
      </c>
      <c r="I34" s="16" t="s">
        <v>6</v>
      </c>
      <c r="J34" s="16" t="s">
        <v>7</v>
      </c>
      <c r="K34" s="16" t="s">
        <v>8</v>
      </c>
      <c r="L34" s="16" t="s">
        <v>9</v>
      </c>
      <c r="M34" s="16" t="s">
        <v>10</v>
      </c>
      <c r="N34" s="16" t="s">
        <v>11</v>
      </c>
      <c r="O34" s="16" t="s">
        <v>12</v>
      </c>
    </row>
    <row r="35">
      <c r="A35" s="13"/>
      <c r="C35" s="15">
        <v>2025.0</v>
      </c>
      <c r="D35" s="9">
        <f t="shared" ref="D35:D39" si="4">$D$27*$A$33</f>
        <v>5620.686631</v>
      </c>
      <c r="E35" s="9">
        <f t="shared" ref="E35:E39" si="5">$E$27*$A$33</f>
        <v>3859.29811</v>
      </c>
      <c r="F35" s="9">
        <f t="shared" ref="F35:F39" si="6">$F$27*$A$33</f>
        <v>4559.671139</v>
      </c>
      <c r="G35" s="9">
        <f t="shared" ref="G35:G39" si="7">$G$27*$A$33</f>
        <v>5072.514099</v>
      </c>
      <c r="H35" s="9">
        <f t="shared" ref="H35:H39" si="8">$H$27*$A$33</f>
        <v>4540.389066</v>
      </c>
      <c r="I35" s="9">
        <f t="shared" ref="I35:I39" si="9">$I$27*$A$33</f>
        <v>5319.344691</v>
      </c>
      <c r="J35" s="9">
        <f t="shared" ref="J35:J39" si="10">$J$27*$A$33</f>
        <v>5372.577254</v>
      </c>
      <c r="K35" s="9">
        <f t="shared" ref="K35:K39" si="11">$K$27*$A$33</f>
        <v>4914.571606</v>
      </c>
      <c r="L35" s="9">
        <f t="shared" ref="L35:L39" si="12">$L$27*$A$33</f>
        <v>4565.413134</v>
      </c>
      <c r="M35" s="9">
        <f t="shared" ref="M35:M39" si="13">$M$27*$A$33</f>
        <v>4535.825558</v>
      </c>
      <c r="N35" s="9">
        <f t="shared" ref="N35:N39" si="14">$N$27*$A$33</f>
        <v>4658.789519</v>
      </c>
      <c r="O35" s="9">
        <f t="shared" ref="O35:O39" si="15">$O$27*$A$33</f>
        <v>5746.08279</v>
      </c>
    </row>
    <row r="36">
      <c r="A36" s="13"/>
      <c r="C36" s="2">
        <v>2026.0</v>
      </c>
      <c r="D36" s="9">
        <f t="shared" si="4"/>
        <v>5620.686631</v>
      </c>
      <c r="E36" s="9">
        <f t="shared" si="5"/>
        <v>3859.29811</v>
      </c>
      <c r="F36" s="9">
        <f t="shared" si="6"/>
        <v>4559.671139</v>
      </c>
      <c r="G36" s="9">
        <f t="shared" si="7"/>
        <v>5072.514099</v>
      </c>
      <c r="H36" s="9">
        <f t="shared" si="8"/>
        <v>4540.389066</v>
      </c>
      <c r="I36" s="9">
        <f t="shared" si="9"/>
        <v>5319.344691</v>
      </c>
      <c r="J36" s="9">
        <f t="shared" si="10"/>
        <v>5372.577254</v>
      </c>
      <c r="K36" s="9">
        <f t="shared" si="11"/>
        <v>4914.571606</v>
      </c>
      <c r="L36" s="9">
        <f t="shared" si="12"/>
        <v>4565.413134</v>
      </c>
      <c r="M36" s="9">
        <f t="shared" si="13"/>
        <v>4535.825558</v>
      </c>
      <c r="N36" s="9">
        <f t="shared" si="14"/>
        <v>4658.789519</v>
      </c>
      <c r="O36" s="9">
        <f t="shared" si="15"/>
        <v>5746.08279</v>
      </c>
    </row>
    <row r="37">
      <c r="A37" s="13"/>
      <c r="C37" s="2">
        <v>2027.0</v>
      </c>
      <c r="D37" s="9">
        <f t="shared" si="4"/>
        <v>5620.686631</v>
      </c>
      <c r="E37" s="9">
        <f t="shared" si="5"/>
        <v>3859.29811</v>
      </c>
      <c r="F37" s="9">
        <f t="shared" si="6"/>
        <v>4559.671139</v>
      </c>
      <c r="G37" s="9">
        <f t="shared" si="7"/>
        <v>5072.514099</v>
      </c>
      <c r="H37" s="9">
        <f t="shared" si="8"/>
        <v>4540.389066</v>
      </c>
      <c r="I37" s="9">
        <f t="shared" si="9"/>
        <v>5319.344691</v>
      </c>
      <c r="J37" s="9">
        <f t="shared" si="10"/>
        <v>5372.577254</v>
      </c>
      <c r="K37" s="9">
        <f t="shared" si="11"/>
        <v>4914.571606</v>
      </c>
      <c r="L37" s="9">
        <f t="shared" si="12"/>
        <v>4565.413134</v>
      </c>
      <c r="M37" s="9">
        <f t="shared" si="13"/>
        <v>4535.825558</v>
      </c>
      <c r="N37" s="9">
        <f t="shared" si="14"/>
        <v>4658.789519</v>
      </c>
      <c r="O37" s="9">
        <f t="shared" si="15"/>
        <v>5746.08279</v>
      </c>
    </row>
    <row r="38">
      <c r="C38" s="2">
        <v>2028.0</v>
      </c>
      <c r="D38" s="9">
        <f t="shared" si="4"/>
        <v>5620.686631</v>
      </c>
      <c r="E38" s="9">
        <f t="shared" si="5"/>
        <v>3859.29811</v>
      </c>
      <c r="F38" s="9">
        <f t="shared" si="6"/>
        <v>4559.671139</v>
      </c>
      <c r="G38" s="9">
        <f t="shared" si="7"/>
        <v>5072.514099</v>
      </c>
      <c r="H38" s="9">
        <f t="shared" si="8"/>
        <v>4540.389066</v>
      </c>
      <c r="I38" s="9">
        <f t="shared" si="9"/>
        <v>5319.344691</v>
      </c>
      <c r="J38" s="9">
        <f t="shared" si="10"/>
        <v>5372.577254</v>
      </c>
      <c r="K38" s="9">
        <f t="shared" si="11"/>
        <v>4914.571606</v>
      </c>
      <c r="L38" s="9">
        <f t="shared" si="12"/>
        <v>4565.413134</v>
      </c>
      <c r="M38" s="9">
        <f t="shared" si="13"/>
        <v>4535.825558</v>
      </c>
      <c r="N38" s="9">
        <f t="shared" si="14"/>
        <v>4658.789519</v>
      </c>
      <c r="O38" s="9">
        <f t="shared" si="15"/>
        <v>5746.08279</v>
      </c>
    </row>
    <row r="39">
      <c r="C39" s="2">
        <v>2029.0</v>
      </c>
      <c r="D39" s="9">
        <f t="shared" si="4"/>
        <v>5620.686631</v>
      </c>
      <c r="E39" s="9">
        <f t="shared" si="5"/>
        <v>3859.29811</v>
      </c>
      <c r="F39" s="9">
        <f t="shared" si="6"/>
        <v>4559.671139</v>
      </c>
      <c r="G39" s="9">
        <f t="shared" si="7"/>
        <v>5072.514099</v>
      </c>
      <c r="H39" s="9">
        <f t="shared" si="8"/>
        <v>4540.389066</v>
      </c>
      <c r="I39" s="9">
        <f t="shared" si="9"/>
        <v>5319.344691</v>
      </c>
      <c r="J39" s="9">
        <f t="shared" si="10"/>
        <v>5372.577254</v>
      </c>
      <c r="K39" s="9">
        <f t="shared" si="11"/>
        <v>4914.571606</v>
      </c>
      <c r="L39" s="9">
        <f t="shared" si="12"/>
        <v>4565.413134</v>
      </c>
      <c r="M39" s="9">
        <f t="shared" si="13"/>
        <v>4535.825558</v>
      </c>
      <c r="N39" s="9">
        <f t="shared" si="14"/>
        <v>4658.789519</v>
      </c>
      <c r="O39" s="9">
        <f t="shared" si="15"/>
        <v>5746.08279</v>
      </c>
    </row>
    <row r="42">
      <c r="D42" s="1" t="s">
        <v>17</v>
      </c>
    </row>
    <row r="44">
      <c r="D44" s="17" t="s">
        <v>18</v>
      </c>
      <c r="E44" s="18"/>
      <c r="F44" s="18"/>
      <c r="G44" s="18"/>
      <c r="H44" s="18"/>
      <c r="I44" s="18"/>
      <c r="J44" s="18"/>
      <c r="K44" s="18"/>
      <c r="L44" s="18"/>
      <c r="M44" s="18"/>
      <c r="N44" s="18"/>
      <c r="O44" s="19"/>
    </row>
    <row r="45">
      <c r="C45" s="14"/>
      <c r="D45" s="15" t="s">
        <v>1</v>
      </c>
      <c r="E45" s="16" t="s">
        <v>2</v>
      </c>
      <c r="F45" s="16" t="s">
        <v>3</v>
      </c>
      <c r="G45" s="16" t="s">
        <v>4</v>
      </c>
      <c r="H45" s="16" t="s">
        <v>5</v>
      </c>
      <c r="I45" s="16" t="s">
        <v>6</v>
      </c>
      <c r="J45" s="16" t="s">
        <v>7</v>
      </c>
      <c r="K45" s="16" t="s">
        <v>8</v>
      </c>
      <c r="L45" s="16" t="s">
        <v>9</v>
      </c>
      <c r="M45" s="16" t="s">
        <v>10</v>
      </c>
      <c r="N45" s="16" t="s">
        <v>11</v>
      </c>
      <c r="O45" s="16" t="s">
        <v>12</v>
      </c>
    </row>
    <row r="46">
      <c r="A46" s="7">
        <v>0.28</v>
      </c>
      <c r="C46" s="15">
        <v>2025.0</v>
      </c>
      <c r="D46" s="9">
        <f t="shared" ref="D46:O46" si="16">D35*(1+$A$46)</f>
        <v>7194.478888</v>
      </c>
      <c r="E46" s="9">
        <f t="shared" si="16"/>
        <v>4939.90158</v>
      </c>
      <c r="F46" s="9">
        <f t="shared" si="16"/>
        <v>5836.379058</v>
      </c>
      <c r="G46" s="9">
        <f t="shared" si="16"/>
        <v>6492.818047</v>
      </c>
      <c r="H46" s="9">
        <f t="shared" si="16"/>
        <v>5811.698004</v>
      </c>
      <c r="I46" s="9">
        <f t="shared" si="16"/>
        <v>6808.761205</v>
      </c>
      <c r="J46" s="9">
        <f t="shared" si="16"/>
        <v>6876.898885</v>
      </c>
      <c r="K46" s="9">
        <f t="shared" si="16"/>
        <v>6290.651656</v>
      </c>
      <c r="L46" s="9">
        <f t="shared" si="16"/>
        <v>5843.728812</v>
      </c>
      <c r="M46" s="9">
        <f t="shared" si="16"/>
        <v>5805.856715</v>
      </c>
      <c r="N46" s="9">
        <f t="shared" si="16"/>
        <v>5963.250584</v>
      </c>
      <c r="O46" s="9">
        <f t="shared" si="16"/>
        <v>7354.985972</v>
      </c>
    </row>
    <row r="47">
      <c r="C47" s="2">
        <v>2026.0</v>
      </c>
      <c r="D47" s="9">
        <f t="shared" ref="D47:O47" si="17">D36*(1+$A$46)</f>
        <v>7194.478888</v>
      </c>
      <c r="E47" s="9">
        <f t="shared" si="17"/>
        <v>4939.90158</v>
      </c>
      <c r="F47" s="9">
        <f t="shared" si="17"/>
        <v>5836.379058</v>
      </c>
      <c r="G47" s="9">
        <f t="shared" si="17"/>
        <v>6492.818047</v>
      </c>
      <c r="H47" s="9">
        <f t="shared" si="17"/>
        <v>5811.698004</v>
      </c>
      <c r="I47" s="9">
        <f t="shared" si="17"/>
        <v>6808.761205</v>
      </c>
      <c r="J47" s="9">
        <f t="shared" si="17"/>
        <v>6876.898885</v>
      </c>
      <c r="K47" s="9">
        <f t="shared" si="17"/>
        <v>6290.651656</v>
      </c>
      <c r="L47" s="9">
        <f t="shared" si="17"/>
        <v>5843.728812</v>
      </c>
      <c r="M47" s="9">
        <f t="shared" si="17"/>
        <v>5805.856715</v>
      </c>
      <c r="N47" s="9">
        <f t="shared" si="17"/>
        <v>5963.250584</v>
      </c>
      <c r="O47" s="9">
        <f t="shared" si="17"/>
        <v>7354.985972</v>
      </c>
    </row>
    <row r="48">
      <c r="C48" s="2">
        <v>2027.0</v>
      </c>
      <c r="D48" s="9">
        <f t="shared" ref="D48:O48" si="18">D37*(1+$A$46)</f>
        <v>7194.478888</v>
      </c>
      <c r="E48" s="9">
        <f t="shared" si="18"/>
        <v>4939.90158</v>
      </c>
      <c r="F48" s="9">
        <f t="shared" si="18"/>
        <v>5836.379058</v>
      </c>
      <c r="G48" s="9">
        <f t="shared" si="18"/>
        <v>6492.818047</v>
      </c>
      <c r="H48" s="9">
        <f t="shared" si="18"/>
        <v>5811.698004</v>
      </c>
      <c r="I48" s="9">
        <f t="shared" si="18"/>
        <v>6808.761205</v>
      </c>
      <c r="J48" s="9">
        <f t="shared" si="18"/>
        <v>6876.898885</v>
      </c>
      <c r="K48" s="9">
        <f t="shared" si="18"/>
        <v>6290.651656</v>
      </c>
      <c r="L48" s="9">
        <f t="shared" si="18"/>
        <v>5843.728812</v>
      </c>
      <c r="M48" s="9">
        <f t="shared" si="18"/>
        <v>5805.856715</v>
      </c>
      <c r="N48" s="9">
        <f t="shared" si="18"/>
        <v>5963.250584</v>
      </c>
      <c r="O48" s="9">
        <f t="shared" si="18"/>
        <v>7354.985972</v>
      </c>
    </row>
    <row r="49">
      <c r="C49" s="2">
        <v>2028.0</v>
      </c>
      <c r="D49" s="9">
        <f t="shared" ref="D49:O49" si="19">D38*(1+$A$46)</f>
        <v>7194.478888</v>
      </c>
      <c r="E49" s="9">
        <f t="shared" si="19"/>
        <v>4939.90158</v>
      </c>
      <c r="F49" s="9">
        <f t="shared" si="19"/>
        <v>5836.379058</v>
      </c>
      <c r="G49" s="9">
        <f t="shared" si="19"/>
        <v>6492.818047</v>
      </c>
      <c r="H49" s="9">
        <f t="shared" si="19"/>
        <v>5811.698004</v>
      </c>
      <c r="I49" s="9">
        <f t="shared" si="19"/>
        <v>6808.761205</v>
      </c>
      <c r="J49" s="9">
        <f t="shared" si="19"/>
        <v>6876.898885</v>
      </c>
      <c r="K49" s="9">
        <f t="shared" si="19"/>
        <v>6290.651656</v>
      </c>
      <c r="L49" s="9">
        <f t="shared" si="19"/>
        <v>5843.728812</v>
      </c>
      <c r="M49" s="9">
        <f t="shared" si="19"/>
        <v>5805.856715</v>
      </c>
      <c r="N49" s="9">
        <f t="shared" si="19"/>
        <v>5963.250584</v>
      </c>
      <c r="O49" s="9">
        <f t="shared" si="19"/>
        <v>7354.985972</v>
      </c>
    </row>
    <row r="50">
      <c r="C50" s="2">
        <v>2029.0</v>
      </c>
      <c r="D50" s="9">
        <f t="shared" ref="D50:O50" si="20">D39*(1+$A$46)</f>
        <v>7194.478888</v>
      </c>
      <c r="E50" s="9">
        <f t="shared" si="20"/>
        <v>4939.90158</v>
      </c>
      <c r="F50" s="9">
        <f t="shared" si="20"/>
        <v>5836.379058</v>
      </c>
      <c r="G50" s="9">
        <f t="shared" si="20"/>
        <v>6492.818047</v>
      </c>
      <c r="H50" s="9">
        <f t="shared" si="20"/>
        <v>5811.698004</v>
      </c>
      <c r="I50" s="9">
        <f t="shared" si="20"/>
        <v>6808.761205</v>
      </c>
      <c r="J50" s="9">
        <f t="shared" si="20"/>
        <v>6876.898885</v>
      </c>
      <c r="K50" s="9">
        <f t="shared" si="20"/>
        <v>6290.651656</v>
      </c>
      <c r="L50" s="9">
        <f t="shared" si="20"/>
        <v>5843.728812</v>
      </c>
      <c r="M50" s="9">
        <f t="shared" si="20"/>
        <v>5805.856715</v>
      </c>
      <c r="N50" s="9">
        <f t="shared" si="20"/>
        <v>5963.250584</v>
      </c>
      <c r="O50" s="9">
        <f t="shared" si="20"/>
        <v>7354.985972</v>
      </c>
    </row>
    <row r="53">
      <c r="D53" s="20" t="s">
        <v>19</v>
      </c>
    </row>
    <row r="55">
      <c r="D55" s="21" t="s">
        <v>20</v>
      </c>
      <c r="E55" s="21">
        <v>2.0</v>
      </c>
      <c r="F55" s="21" t="s">
        <v>21</v>
      </c>
    </row>
    <row r="56">
      <c r="F56" s="21"/>
    </row>
    <row r="57">
      <c r="C57" s="22" t="s">
        <v>22</v>
      </c>
      <c r="D57" s="19"/>
      <c r="E57" s="23" t="s">
        <v>23</v>
      </c>
      <c r="F57" s="24" t="s">
        <v>24</v>
      </c>
      <c r="G57" s="25" t="s">
        <v>25</v>
      </c>
      <c r="H57" s="24" t="s">
        <v>26</v>
      </c>
      <c r="I57" s="26"/>
    </row>
    <row r="58">
      <c r="B58" s="27" t="s">
        <v>27</v>
      </c>
      <c r="C58" s="28" t="s">
        <v>28</v>
      </c>
      <c r="D58" s="29"/>
      <c r="E58" s="30">
        <v>80000.0</v>
      </c>
      <c r="F58" s="31">
        <f>L65</f>
        <v>0.01142857143</v>
      </c>
      <c r="G58" s="32">
        <f>E58*F58</f>
        <v>914.2857143</v>
      </c>
      <c r="H58" s="33">
        <f>SUM(G58:G71)</f>
        <v>6731.428571</v>
      </c>
      <c r="I58" s="34"/>
    </row>
    <row r="59">
      <c r="B59" s="35"/>
      <c r="C59" s="36"/>
      <c r="D59" s="37"/>
      <c r="E59" s="38"/>
      <c r="F59" s="38"/>
      <c r="G59" s="39"/>
      <c r="H59" s="35"/>
    </row>
    <row r="60">
      <c r="B60" s="35"/>
      <c r="C60" s="40" t="s">
        <v>29</v>
      </c>
      <c r="D60" s="41"/>
      <c r="E60" s="30">
        <v>83000.0</v>
      </c>
      <c r="F60" s="31">
        <f>F58</f>
        <v>0.01142857143</v>
      </c>
      <c r="G60" s="32">
        <f>E60*F60</f>
        <v>948.5714286</v>
      </c>
      <c r="H60" s="35"/>
    </row>
    <row r="61">
      <c r="B61" s="35"/>
      <c r="C61" s="36"/>
      <c r="D61" s="37"/>
      <c r="E61" s="38"/>
      <c r="F61" s="38"/>
      <c r="G61" s="39"/>
      <c r="H61" s="35"/>
      <c r="K61" s="42">
        <f>2/12</f>
        <v>0.1666666667</v>
      </c>
      <c r="L61" s="43">
        <f>K61*12</f>
        <v>2</v>
      </c>
    </row>
    <row r="62">
      <c r="B62" s="35"/>
      <c r="C62" s="40" t="s">
        <v>30</v>
      </c>
      <c r="D62" s="41"/>
      <c r="E62" s="30">
        <v>90000.0</v>
      </c>
      <c r="F62" s="44">
        <f>F60</f>
        <v>0.01142857143</v>
      </c>
      <c r="G62" s="32">
        <f>E62*F62</f>
        <v>1028.571429</v>
      </c>
      <c r="H62" s="35"/>
      <c r="K62" s="4" t="s">
        <v>31</v>
      </c>
      <c r="L62" s="4" t="s">
        <v>32</v>
      </c>
    </row>
    <row r="63">
      <c r="B63" s="35"/>
      <c r="C63" s="36"/>
      <c r="D63" s="37"/>
      <c r="E63" s="38"/>
      <c r="F63" s="38"/>
      <c r="G63" s="39"/>
      <c r="H63" s="35"/>
      <c r="K63" s="45">
        <f>1/12</f>
        <v>0.08333333333</v>
      </c>
    </row>
    <row r="64">
      <c r="B64" s="35"/>
      <c r="C64" s="40" t="s">
        <v>33</v>
      </c>
      <c r="D64" s="41"/>
      <c r="E64" s="30">
        <v>81000.0</v>
      </c>
      <c r="F64" s="44">
        <f>F62</f>
        <v>0.01142857143</v>
      </c>
      <c r="G64" s="32">
        <f>E64*F64</f>
        <v>925.7142857</v>
      </c>
      <c r="H64" s="35"/>
    </row>
    <row r="65">
      <c r="B65" s="35"/>
      <c r="C65" s="36"/>
      <c r="D65" s="37"/>
      <c r="E65" s="38"/>
      <c r="F65" s="38"/>
      <c r="G65" s="39"/>
      <c r="H65" s="35"/>
      <c r="L65" s="46">
        <f>0.08/7</f>
        <v>0.01142857143</v>
      </c>
    </row>
    <row r="66">
      <c r="B66" s="35"/>
      <c r="C66" s="40" t="s">
        <v>34</v>
      </c>
      <c r="D66" s="41"/>
      <c r="E66" s="30">
        <v>83000.0</v>
      </c>
      <c r="F66" s="44">
        <f>F64</f>
        <v>0.01142857143</v>
      </c>
      <c r="G66" s="32">
        <f>E66*F66</f>
        <v>948.5714286</v>
      </c>
      <c r="H66" s="35"/>
      <c r="L66" s="47">
        <f>0.08/5</f>
        <v>0.016</v>
      </c>
    </row>
    <row r="67">
      <c r="B67" s="35"/>
      <c r="C67" s="36"/>
      <c r="D67" s="37"/>
      <c r="E67" s="38"/>
      <c r="F67" s="38"/>
      <c r="G67" s="39"/>
      <c r="H67" s="35"/>
      <c r="L67" s="48">
        <f>0.08/4</f>
        <v>0.02</v>
      </c>
    </row>
    <row r="68">
      <c r="B68" s="35"/>
      <c r="C68" s="40" t="s">
        <v>35</v>
      </c>
      <c r="D68" s="41"/>
      <c r="E68" s="30">
        <v>90000.0</v>
      </c>
      <c r="F68" s="44">
        <f>F66</f>
        <v>0.01142857143</v>
      </c>
      <c r="G68" s="32">
        <f>E68*F68</f>
        <v>1028.571429</v>
      </c>
      <c r="H68" s="35"/>
      <c r="L68" s="49">
        <f>0.17/8</f>
        <v>0.02125</v>
      </c>
    </row>
    <row r="69">
      <c r="B69" s="35"/>
      <c r="C69" s="36"/>
      <c r="D69" s="37"/>
      <c r="E69" s="38"/>
      <c r="F69" s="38"/>
      <c r="G69" s="39"/>
      <c r="H69" s="35"/>
      <c r="L69" s="50">
        <f>0.08/4</f>
        <v>0.02</v>
      </c>
    </row>
    <row r="70">
      <c r="B70" s="35"/>
      <c r="C70" s="40" t="s">
        <v>36</v>
      </c>
      <c r="D70" s="41"/>
      <c r="E70" s="30">
        <v>82000.0</v>
      </c>
      <c r="F70" s="44">
        <f>F68</f>
        <v>0.01142857143</v>
      </c>
      <c r="G70" s="32">
        <f>E70*F70</f>
        <v>937.1428571</v>
      </c>
      <c r="H70" s="35"/>
      <c r="L70" s="51">
        <f>0.08/18</f>
        <v>0.004444444444</v>
      </c>
    </row>
    <row r="71">
      <c r="B71" s="38"/>
      <c r="C71" s="36"/>
      <c r="D71" s="37"/>
      <c r="E71" s="38"/>
      <c r="F71" s="38"/>
      <c r="G71" s="39"/>
      <c r="H71" s="38"/>
    </row>
    <row r="72">
      <c r="B72" s="52" t="s">
        <v>37</v>
      </c>
      <c r="C72" s="40" t="s">
        <v>38</v>
      </c>
      <c r="D72" s="41"/>
      <c r="E72" s="30">
        <v>76000.0</v>
      </c>
      <c r="F72" s="31">
        <f>L66</f>
        <v>0.016</v>
      </c>
      <c r="G72" s="32">
        <f>E72*F72</f>
        <v>1216</v>
      </c>
      <c r="H72" s="53">
        <f>SUM(G72:G81)</f>
        <v>4064</v>
      </c>
      <c r="I72" s="34"/>
    </row>
    <row r="73">
      <c r="B73" s="35"/>
      <c r="C73" s="36"/>
      <c r="D73" s="37"/>
      <c r="E73" s="38"/>
      <c r="F73" s="38"/>
      <c r="G73" s="39"/>
      <c r="H73" s="35"/>
    </row>
    <row r="74">
      <c r="B74" s="35"/>
      <c r="C74" s="40" t="s">
        <v>39</v>
      </c>
      <c r="D74" s="41"/>
      <c r="E74" s="30">
        <v>26000.0</v>
      </c>
      <c r="F74" s="44">
        <f>F72</f>
        <v>0.016</v>
      </c>
      <c r="G74" s="32">
        <f>E74*F74</f>
        <v>416</v>
      </c>
      <c r="H74" s="35"/>
    </row>
    <row r="75">
      <c r="B75" s="35"/>
      <c r="C75" s="36"/>
      <c r="D75" s="37"/>
      <c r="E75" s="38"/>
      <c r="F75" s="38"/>
      <c r="G75" s="39"/>
      <c r="H75" s="35"/>
    </row>
    <row r="76">
      <c r="B76" s="35"/>
      <c r="C76" s="40" t="s">
        <v>40</v>
      </c>
      <c r="D76" s="41"/>
      <c r="E76" s="30">
        <v>42000.0</v>
      </c>
      <c r="F76" s="44">
        <f>F74</f>
        <v>0.016</v>
      </c>
      <c r="G76" s="32">
        <f>E76*F76</f>
        <v>672</v>
      </c>
      <c r="H76" s="35"/>
    </row>
    <row r="77">
      <c r="B77" s="35"/>
      <c r="C77" s="36"/>
      <c r="D77" s="37"/>
      <c r="E77" s="38"/>
      <c r="F77" s="38"/>
      <c r="G77" s="39"/>
      <c r="H77" s="35"/>
    </row>
    <row r="78">
      <c r="B78" s="35"/>
      <c r="C78" s="40" t="s">
        <v>41</v>
      </c>
      <c r="D78" s="41"/>
      <c r="E78" s="30">
        <v>50000.0</v>
      </c>
      <c r="F78" s="44">
        <f>F76</f>
        <v>0.016</v>
      </c>
      <c r="G78" s="32">
        <f>E78*F78</f>
        <v>800</v>
      </c>
      <c r="H78" s="35"/>
    </row>
    <row r="79">
      <c r="B79" s="35"/>
      <c r="C79" s="36"/>
      <c r="D79" s="37"/>
      <c r="E79" s="38"/>
      <c r="F79" s="38"/>
      <c r="G79" s="39"/>
      <c r="H79" s="35"/>
    </row>
    <row r="80">
      <c r="B80" s="35"/>
      <c r="C80" s="40" t="s">
        <v>42</v>
      </c>
      <c r="D80" s="41"/>
      <c r="E80" s="30">
        <v>60000.0</v>
      </c>
      <c r="F80" s="44">
        <f>F78</f>
        <v>0.016</v>
      </c>
      <c r="G80" s="32">
        <f>E80*F80</f>
        <v>960</v>
      </c>
      <c r="H80" s="35"/>
    </row>
    <row r="81">
      <c r="B81" s="38"/>
      <c r="C81" s="36"/>
      <c r="D81" s="37"/>
      <c r="E81" s="38"/>
      <c r="F81" s="38"/>
      <c r="G81" s="39"/>
      <c r="H81" s="38"/>
    </row>
    <row r="82">
      <c r="B82" s="54" t="s">
        <v>43</v>
      </c>
      <c r="C82" s="40" t="s">
        <v>44</v>
      </c>
      <c r="D82" s="41"/>
      <c r="E82" s="30">
        <v>17000.0</v>
      </c>
      <c r="F82" s="31">
        <f>L67</f>
        <v>0.02</v>
      </c>
      <c r="G82" s="32">
        <f>E82*F82</f>
        <v>340</v>
      </c>
      <c r="H82" s="55">
        <f>SUM(G82:G89)</f>
        <v>1500</v>
      </c>
      <c r="I82" s="34"/>
    </row>
    <row r="83">
      <c r="B83" s="35"/>
      <c r="C83" s="36"/>
      <c r="D83" s="37"/>
      <c r="E83" s="38"/>
      <c r="F83" s="38"/>
      <c r="G83" s="39"/>
      <c r="H83" s="35"/>
    </row>
    <row r="84">
      <c r="B84" s="35"/>
      <c r="C84" s="40" t="s">
        <v>45</v>
      </c>
      <c r="D84" s="41"/>
      <c r="E84" s="30">
        <v>19000.0</v>
      </c>
      <c r="F84" s="44">
        <f>F82</f>
        <v>0.02</v>
      </c>
      <c r="G84" s="32">
        <f>E84*F84</f>
        <v>380</v>
      </c>
      <c r="H84" s="35"/>
    </row>
    <row r="85">
      <c r="B85" s="35"/>
      <c r="C85" s="36"/>
      <c r="D85" s="37"/>
      <c r="E85" s="38"/>
      <c r="F85" s="38"/>
      <c r="G85" s="39"/>
      <c r="H85" s="35"/>
    </row>
    <row r="86">
      <c r="B86" s="35"/>
      <c r="C86" s="40" t="s">
        <v>46</v>
      </c>
      <c r="D86" s="41"/>
      <c r="E86" s="30">
        <v>17000.0</v>
      </c>
      <c r="F86" s="44">
        <f>F84</f>
        <v>0.02</v>
      </c>
      <c r="G86" s="32">
        <f>E86*F86</f>
        <v>340</v>
      </c>
      <c r="H86" s="35"/>
    </row>
    <row r="87">
      <c r="B87" s="35"/>
      <c r="C87" s="36"/>
      <c r="D87" s="37"/>
      <c r="E87" s="38"/>
      <c r="F87" s="38"/>
      <c r="G87" s="39"/>
      <c r="H87" s="35"/>
    </row>
    <row r="88">
      <c r="B88" s="35"/>
      <c r="C88" s="40" t="s">
        <v>47</v>
      </c>
      <c r="D88" s="41"/>
      <c r="E88" s="30">
        <v>22000.0</v>
      </c>
      <c r="F88" s="44">
        <f>F86</f>
        <v>0.02</v>
      </c>
      <c r="G88" s="32">
        <f>E88*F88</f>
        <v>440</v>
      </c>
      <c r="H88" s="35"/>
    </row>
    <row r="89">
      <c r="B89" s="38"/>
      <c r="C89" s="36"/>
      <c r="D89" s="37"/>
      <c r="E89" s="38"/>
      <c r="F89" s="38"/>
      <c r="G89" s="39"/>
      <c r="H89" s="38"/>
    </row>
    <row r="90">
      <c r="B90" s="56" t="s">
        <v>48</v>
      </c>
      <c r="C90" s="57" t="s">
        <v>49</v>
      </c>
      <c r="D90" s="58"/>
      <c r="E90" s="59">
        <v>28000.0</v>
      </c>
      <c r="F90" s="60">
        <f>L68</f>
        <v>0.02125</v>
      </c>
      <c r="G90" s="61">
        <f t="shared" ref="G90:G101" si="21">E90*F90</f>
        <v>595</v>
      </c>
      <c r="H90" s="62">
        <f>SUM(G90:G97)</f>
        <v>5163.75</v>
      </c>
      <c r="I90" s="34"/>
    </row>
    <row r="91">
      <c r="B91" s="35"/>
      <c r="C91" s="57" t="s">
        <v>50</v>
      </c>
      <c r="D91" s="58"/>
      <c r="E91" s="59">
        <v>18000.0</v>
      </c>
      <c r="F91" s="63">
        <f t="shared" ref="F91:F97" si="22">F90</f>
        <v>0.02125</v>
      </c>
      <c r="G91" s="61">
        <f t="shared" si="21"/>
        <v>382.5</v>
      </c>
      <c r="H91" s="35"/>
    </row>
    <row r="92">
      <c r="B92" s="35"/>
      <c r="C92" s="57" t="s">
        <v>51</v>
      </c>
      <c r="D92" s="58"/>
      <c r="E92" s="59">
        <v>45000.0</v>
      </c>
      <c r="F92" s="63">
        <f t="shared" si="22"/>
        <v>0.02125</v>
      </c>
      <c r="G92" s="61">
        <f t="shared" si="21"/>
        <v>956.25</v>
      </c>
      <c r="H92" s="35"/>
    </row>
    <row r="93">
      <c r="B93" s="35"/>
      <c r="C93" s="57" t="s">
        <v>52</v>
      </c>
      <c r="D93" s="58"/>
      <c r="E93" s="59">
        <v>37000.0</v>
      </c>
      <c r="F93" s="63">
        <f t="shared" si="22"/>
        <v>0.02125</v>
      </c>
      <c r="G93" s="61">
        <f t="shared" si="21"/>
        <v>786.25</v>
      </c>
      <c r="H93" s="35"/>
    </row>
    <row r="94">
      <c r="B94" s="35"/>
      <c r="C94" s="64" t="s">
        <v>53</v>
      </c>
      <c r="D94" s="58"/>
      <c r="E94" s="59">
        <v>24000.0</v>
      </c>
      <c r="F94" s="63">
        <f t="shared" si="22"/>
        <v>0.02125</v>
      </c>
      <c r="G94" s="61">
        <f t="shared" si="21"/>
        <v>510</v>
      </c>
      <c r="H94" s="35"/>
    </row>
    <row r="95">
      <c r="B95" s="35"/>
      <c r="C95" s="65" t="s">
        <v>54</v>
      </c>
      <c r="D95" s="58"/>
      <c r="E95" s="59">
        <v>29000.0</v>
      </c>
      <c r="F95" s="63">
        <f t="shared" si="22"/>
        <v>0.02125</v>
      </c>
      <c r="G95" s="61">
        <f t="shared" si="21"/>
        <v>616.25</v>
      </c>
      <c r="H95" s="35"/>
    </row>
    <row r="96">
      <c r="B96" s="35"/>
      <c r="C96" s="65" t="s">
        <v>55</v>
      </c>
      <c r="D96" s="58"/>
      <c r="E96" s="59">
        <v>38000.0</v>
      </c>
      <c r="F96" s="63">
        <f t="shared" si="22"/>
        <v>0.02125</v>
      </c>
      <c r="G96" s="61">
        <f t="shared" si="21"/>
        <v>807.5</v>
      </c>
      <c r="H96" s="35"/>
    </row>
    <row r="97">
      <c r="B97" s="38"/>
      <c r="C97" s="64" t="s">
        <v>56</v>
      </c>
      <c r="D97" s="58"/>
      <c r="E97" s="59">
        <v>24000.0</v>
      </c>
      <c r="F97" s="63">
        <f t="shared" si="22"/>
        <v>0.02125</v>
      </c>
      <c r="G97" s="61">
        <f t="shared" si="21"/>
        <v>510</v>
      </c>
      <c r="H97" s="38"/>
    </row>
    <row r="98">
      <c r="B98" s="66" t="s">
        <v>57</v>
      </c>
      <c r="C98" s="65" t="s">
        <v>58</v>
      </c>
      <c r="D98" s="58"/>
      <c r="E98" s="59">
        <v>8000.0</v>
      </c>
      <c r="F98" s="60">
        <f>L69</f>
        <v>0.02</v>
      </c>
      <c r="G98" s="61">
        <f t="shared" si="21"/>
        <v>160</v>
      </c>
      <c r="H98" s="67">
        <f>SUM(G98:G101)</f>
        <v>900</v>
      </c>
      <c r="I98" s="34"/>
    </row>
    <row r="99">
      <c r="B99" s="35"/>
      <c r="C99" s="65" t="s">
        <v>59</v>
      </c>
      <c r="D99" s="58"/>
      <c r="E99" s="59">
        <v>11000.0</v>
      </c>
      <c r="F99" s="63">
        <f t="shared" ref="F99:F101" si="23">F98</f>
        <v>0.02</v>
      </c>
      <c r="G99" s="61">
        <f t="shared" si="21"/>
        <v>220</v>
      </c>
      <c r="H99" s="35"/>
    </row>
    <row r="100">
      <c r="B100" s="35"/>
      <c r="C100" s="65" t="s">
        <v>60</v>
      </c>
      <c r="D100" s="58"/>
      <c r="E100" s="59">
        <v>15000.0</v>
      </c>
      <c r="F100" s="63">
        <f t="shared" si="23"/>
        <v>0.02</v>
      </c>
      <c r="G100" s="61">
        <f t="shared" si="21"/>
        <v>300</v>
      </c>
      <c r="H100" s="35"/>
    </row>
    <row r="101">
      <c r="B101" s="38"/>
      <c r="C101" s="65" t="s">
        <v>61</v>
      </c>
      <c r="D101" s="58"/>
      <c r="E101" s="59">
        <v>11000.0</v>
      </c>
      <c r="F101" s="63">
        <f t="shared" si="23"/>
        <v>0.02</v>
      </c>
      <c r="G101" s="61">
        <f t="shared" si="21"/>
        <v>220</v>
      </c>
      <c r="H101" s="38"/>
    </row>
    <row r="102">
      <c r="B102" s="68" t="s">
        <v>62</v>
      </c>
      <c r="C102" s="69" t="s">
        <v>63</v>
      </c>
      <c r="D102" s="19"/>
      <c r="E102" s="59">
        <v>33750.0</v>
      </c>
      <c r="F102" s="60">
        <f>L70</f>
        <v>0.004444444444</v>
      </c>
      <c r="G102" s="61">
        <f t="shared" ref="G102:G119" si="24">F102*E102</f>
        <v>150</v>
      </c>
      <c r="H102" s="70">
        <f>SUM(G102:G119)</f>
        <v>2480.155556</v>
      </c>
      <c r="I102" s="34"/>
    </row>
    <row r="103">
      <c r="B103" s="35"/>
      <c r="C103" s="69" t="s">
        <v>64</v>
      </c>
      <c r="D103" s="19"/>
      <c r="E103" s="59">
        <v>18200.0</v>
      </c>
      <c r="F103" s="63">
        <f t="shared" ref="F103:F119" si="25">F102</f>
        <v>0.004444444444</v>
      </c>
      <c r="G103" s="61">
        <f t="shared" si="24"/>
        <v>80.88888889</v>
      </c>
      <c r="H103" s="35"/>
    </row>
    <row r="104">
      <c r="B104" s="35"/>
      <c r="C104" s="71" t="s">
        <v>65</v>
      </c>
      <c r="D104" s="19"/>
      <c r="E104" s="59">
        <v>81000.0</v>
      </c>
      <c r="F104" s="63">
        <f t="shared" si="25"/>
        <v>0.004444444444</v>
      </c>
      <c r="G104" s="61">
        <f t="shared" si="24"/>
        <v>360</v>
      </c>
      <c r="H104" s="35"/>
    </row>
    <row r="105">
      <c r="B105" s="35"/>
      <c r="C105" s="71" t="s">
        <v>66</v>
      </c>
      <c r="D105" s="19"/>
      <c r="E105" s="59">
        <v>3500.0</v>
      </c>
      <c r="F105" s="63">
        <f t="shared" si="25"/>
        <v>0.004444444444</v>
      </c>
      <c r="G105" s="61">
        <f t="shared" si="24"/>
        <v>15.55555556</v>
      </c>
      <c r="H105" s="35"/>
    </row>
    <row r="106">
      <c r="B106" s="35"/>
      <c r="C106" s="71" t="s">
        <v>67</v>
      </c>
      <c r="D106" s="19"/>
      <c r="E106" s="59">
        <v>24840.0</v>
      </c>
      <c r="F106" s="63">
        <f t="shared" si="25"/>
        <v>0.004444444444</v>
      </c>
      <c r="G106" s="61">
        <f t="shared" si="24"/>
        <v>110.4</v>
      </c>
      <c r="H106" s="35"/>
    </row>
    <row r="107">
      <c r="B107" s="35"/>
      <c r="C107" s="71" t="s">
        <v>68</v>
      </c>
      <c r="D107" s="19"/>
      <c r="E107" s="59">
        <v>8100.0</v>
      </c>
      <c r="F107" s="63">
        <f t="shared" si="25"/>
        <v>0.004444444444</v>
      </c>
      <c r="G107" s="61">
        <f t="shared" si="24"/>
        <v>36</v>
      </c>
      <c r="H107" s="35"/>
    </row>
    <row r="108">
      <c r="B108" s="35"/>
      <c r="C108" s="72" t="s">
        <v>69</v>
      </c>
      <c r="D108" s="19"/>
      <c r="E108" s="59">
        <v>3400.0</v>
      </c>
      <c r="F108" s="63">
        <f t="shared" si="25"/>
        <v>0.004444444444</v>
      </c>
      <c r="G108" s="61">
        <f t="shared" si="24"/>
        <v>15.11111111</v>
      </c>
      <c r="H108" s="35"/>
    </row>
    <row r="109">
      <c r="B109" s="35"/>
      <c r="C109" s="69" t="s">
        <v>70</v>
      </c>
      <c r="D109" s="19"/>
      <c r="E109" s="59">
        <v>9520.0</v>
      </c>
      <c r="F109" s="63">
        <f t="shared" si="25"/>
        <v>0.004444444444</v>
      </c>
      <c r="G109" s="61">
        <f t="shared" si="24"/>
        <v>42.31111111</v>
      </c>
      <c r="H109" s="35"/>
    </row>
    <row r="110">
      <c r="B110" s="35"/>
      <c r="C110" s="72" t="s">
        <v>71</v>
      </c>
      <c r="D110" s="19"/>
      <c r="E110" s="59">
        <v>54000.0</v>
      </c>
      <c r="F110" s="63">
        <f t="shared" si="25"/>
        <v>0.004444444444</v>
      </c>
      <c r="G110" s="61">
        <f t="shared" si="24"/>
        <v>240</v>
      </c>
      <c r="H110" s="35"/>
      <c r="J110" s="73">
        <f>H102*12</f>
        <v>29761.86667</v>
      </c>
    </row>
    <row r="111">
      <c r="B111" s="35"/>
      <c r="C111" s="72" t="s">
        <v>72</v>
      </c>
      <c r="D111" s="19"/>
      <c r="E111" s="59">
        <v>10125.0</v>
      </c>
      <c r="F111" s="63">
        <f t="shared" si="25"/>
        <v>0.004444444444</v>
      </c>
      <c r="G111" s="61">
        <f t="shared" si="24"/>
        <v>45</v>
      </c>
      <c r="H111" s="35"/>
    </row>
    <row r="112">
      <c r="B112" s="35"/>
      <c r="C112" s="69" t="s">
        <v>73</v>
      </c>
      <c r="D112" s="19"/>
      <c r="E112" s="59">
        <v>17550.0</v>
      </c>
      <c r="F112" s="63">
        <f t="shared" si="25"/>
        <v>0.004444444444</v>
      </c>
      <c r="G112" s="61">
        <f t="shared" si="24"/>
        <v>78</v>
      </c>
      <c r="H112" s="35"/>
    </row>
    <row r="113">
      <c r="B113" s="35"/>
      <c r="C113" s="69" t="s">
        <v>74</v>
      </c>
      <c r="D113" s="19"/>
      <c r="E113" s="59">
        <v>10800.0</v>
      </c>
      <c r="F113" s="63">
        <f t="shared" si="25"/>
        <v>0.004444444444</v>
      </c>
      <c r="G113" s="61">
        <f t="shared" si="24"/>
        <v>48</v>
      </c>
      <c r="H113" s="35"/>
    </row>
    <row r="114">
      <c r="B114" s="35"/>
      <c r="C114" s="69" t="s">
        <v>75</v>
      </c>
      <c r="D114" s="19"/>
      <c r="E114" s="59">
        <v>81000.0</v>
      </c>
      <c r="F114" s="63">
        <f t="shared" si="25"/>
        <v>0.004444444444</v>
      </c>
      <c r="G114" s="61">
        <f t="shared" si="24"/>
        <v>360</v>
      </c>
      <c r="H114" s="35"/>
    </row>
    <row r="115">
      <c r="B115" s="35"/>
      <c r="C115" s="69" t="s">
        <v>76</v>
      </c>
      <c r="D115" s="19"/>
      <c r="E115" s="59">
        <v>8100.0</v>
      </c>
      <c r="F115" s="63">
        <f t="shared" si="25"/>
        <v>0.004444444444</v>
      </c>
      <c r="G115" s="61">
        <f t="shared" si="24"/>
        <v>36</v>
      </c>
      <c r="H115" s="35"/>
    </row>
    <row r="116">
      <c r="B116" s="35"/>
      <c r="C116" s="69" t="s">
        <v>77</v>
      </c>
      <c r="D116" s="19"/>
      <c r="E116" s="59">
        <v>5200.0</v>
      </c>
      <c r="F116" s="63">
        <f t="shared" si="25"/>
        <v>0.004444444444</v>
      </c>
      <c r="G116" s="61">
        <f t="shared" si="24"/>
        <v>23.11111111</v>
      </c>
      <c r="H116" s="35"/>
    </row>
    <row r="117">
      <c r="B117" s="35"/>
      <c r="C117" s="69" t="s">
        <v>78</v>
      </c>
      <c r="D117" s="19"/>
      <c r="E117" s="59">
        <v>41400.0</v>
      </c>
      <c r="F117" s="63">
        <f t="shared" si="25"/>
        <v>0.004444444444</v>
      </c>
      <c r="G117" s="61">
        <f t="shared" si="24"/>
        <v>184</v>
      </c>
      <c r="H117" s="35"/>
    </row>
    <row r="118">
      <c r="B118" s="35"/>
      <c r="C118" s="69" t="s">
        <v>79</v>
      </c>
      <c r="D118" s="19"/>
      <c r="E118" s="59">
        <v>58500.0</v>
      </c>
      <c r="F118" s="63">
        <f t="shared" si="25"/>
        <v>0.004444444444</v>
      </c>
      <c r="G118" s="61">
        <f t="shared" si="24"/>
        <v>260</v>
      </c>
      <c r="H118" s="35"/>
    </row>
    <row r="119">
      <c r="B119" s="38"/>
      <c r="C119" s="69" t="s">
        <v>80</v>
      </c>
      <c r="D119" s="19"/>
      <c r="E119" s="59">
        <v>89050.0</v>
      </c>
      <c r="F119" s="63">
        <f t="shared" si="25"/>
        <v>0.004444444444</v>
      </c>
      <c r="G119" s="61">
        <f t="shared" si="24"/>
        <v>395.7777778</v>
      </c>
      <c r="H119" s="38"/>
    </row>
    <row r="120">
      <c r="D120" s="74"/>
      <c r="E120" s="74"/>
      <c r="F120" s="74"/>
      <c r="G120" s="74"/>
      <c r="H120" s="59">
        <f>SUM(H58:H119)</f>
        <v>20839.33413</v>
      </c>
      <c r="I120" s="74"/>
      <c r="J120" s="74"/>
      <c r="K120" s="74"/>
      <c r="L120" s="74"/>
      <c r="M120" s="74"/>
      <c r="N120" s="74"/>
      <c r="O120" s="74"/>
    </row>
    <row r="121">
      <c r="D121" s="74"/>
      <c r="E121" s="74"/>
      <c r="F121" s="74"/>
      <c r="G121" s="74"/>
      <c r="H121" s="59">
        <f>H120*12</f>
        <v>250072.0095</v>
      </c>
      <c r="I121" s="74"/>
      <c r="J121" s="74"/>
      <c r="K121" s="74"/>
      <c r="L121" s="74"/>
      <c r="M121" s="74"/>
      <c r="N121" s="74"/>
      <c r="O121" s="74"/>
    </row>
    <row r="122">
      <c r="D122" s="74" t="s">
        <v>81</v>
      </c>
    </row>
    <row r="124">
      <c r="D124" s="17">
        <v>2025.0</v>
      </c>
      <c r="E124" s="18"/>
      <c r="F124" s="18"/>
      <c r="G124" s="18"/>
      <c r="H124" s="18"/>
      <c r="I124" s="18"/>
      <c r="J124" s="18"/>
      <c r="K124" s="18"/>
      <c r="L124" s="18"/>
      <c r="M124" s="18"/>
      <c r="N124" s="18"/>
      <c r="O124" s="19"/>
    </row>
    <row r="125">
      <c r="C125" s="14"/>
      <c r="D125" s="15" t="s">
        <v>1</v>
      </c>
      <c r="E125" s="16" t="s">
        <v>2</v>
      </c>
      <c r="F125" s="16" t="s">
        <v>3</v>
      </c>
      <c r="G125" s="16" t="s">
        <v>4</v>
      </c>
      <c r="H125" s="16" t="s">
        <v>5</v>
      </c>
      <c r="I125" s="16" t="s">
        <v>6</v>
      </c>
      <c r="J125" s="16" t="s">
        <v>7</v>
      </c>
      <c r="K125" s="16" t="s">
        <v>8</v>
      </c>
      <c r="L125" s="16" t="s">
        <v>9</v>
      </c>
      <c r="M125" s="16" t="s">
        <v>10</v>
      </c>
      <c r="N125" s="16" t="s">
        <v>11</v>
      </c>
      <c r="O125" s="16" t="s">
        <v>12</v>
      </c>
      <c r="P125" s="2" t="s">
        <v>82</v>
      </c>
    </row>
    <row r="126">
      <c r="C126" s="75" t="s">
        <v>83</v>
      </c>
      <c r="D126" s="59">
        <f t="shared" ref="D126:O126" si="26">D46*$H$58</f>
        <v>48429120.74</v>
      </c>
      <c r="E126" s="59">
        <f t="shared" si="26"/>
        <v>33252594.64</v>
      </c>
      <c r="F126" s="59">
        <f t="shared" si="26"/>
        <v>39287168.74</v>
      </c>
      <c r="G126" s="59">
        <f t="shared" si="26"/>
        <v>43705940.91</v>
      </c>
      <c r="H126" s="59">
        <f t="shared" si="26"/>
        <v>39121030</v>
      </c>
      <c r="I126" s="59">
        <f t="shared" si="26"/>
        <v>45832689.71</v>
      </c>
      <c r="J126" s="59">
        <f t="shared" si="26"/>
        <v>46291353.64</v>
      </c>
      <c r="K126" s="59">
        <f t="shared" si="26"/>
        <v>42345072.29</v>
      </c>
      <c r="L126" s="59">
        <f t="shared" si="26"/>
        <v>39336643.09</v>
      </c>
      <c r="M126" s="59">
        <f t="shared" si="26"/>
        <v>39081709.77</v>
      </c>
      <c r="N126" s="59">
        <f t="shared" si="26"/>
        <v>40141195.36</v>
      </c>
      <c r="O126" s="59">
        <f t="shared" si="26"/>
        <v>49509562.71</v>
      </c>
      <c r="P126" s="76">
        <f t="shared" ref="P126:P131" si="28">SUM(D126:O126)</f>
        <v>506334081.6</v>
      </c>
    </row>
    <row r="127">
      <c r="C127" s="77" t="s">
        <v>37</v>
      </c>
      <c r="D127" s="59">
        <f t="shared" ref="D127:O127" si="27">D46*$H$72</f>
        <v>29238362.2</v>
      </c>
      <c r="E127" s="59">
        <f t="shared" si="27"/>
        <v>20075760.02</v>
      </c>
      <c r="F127" s="59">
        <f t="shared" si="27"/>
        <v>23719044.49</v>
      </c>
      <c r="G127" s="59">
        <f t="shared" si="27"/>
        <v>26386812.54</v>
      </c>
      <c r="H127" s="59">
        <f t="shared" si="27"/>
        <v>23618740.69</v>
      </c>
      <c r="I127" s="59">
        <f t="shared" si="27"/>
        <v>27670805.54</v>
      </c>
      <c r="J127" s="59">
        <f t="shared" si="27"/>
        <v>27947717.07</v>
      </c>
      <c r="K127" s="59">
        <f t="shared" si="27"/>
        <v>25565208.33</v>
      </c>
      <c r="L127" s="59">
        <f t="shared" si="27"/>
        <v>23748913.89</v>
      </c>
      <c r="M127" s="59">
        <f t="shared" si="27"/>
        <v>23595001.69</v>
      </c>
      <c r="N127" s="59">
        <f t="shared" si="27"/>
        <v>24234650.37</v>
      </c>
      <c r="O127" s="59">
        <f t="shared" si="27"/>
        <v>29890662.99</v>
      </c>
      <c r="P127" s="76">
        <f t="shared" si="28"/>
        <v>305691679.8</v>
      </c>
    </row>
    <row r="128">
      <c r="C128" s="2" t="s">
        <v>43</v>
      </c>
      <c r="D128" s="59">
        <f t="shared" ref="D128:O128" si="29">D46*$H$82</f>
        <v>10791718.33</v>
      </c>
      <c r="E128" s="59">
        <f t="shared" si="29"/>
        <v>7409852.37</v>
      </c>
      <c r="F128" s="59">
        <f t="shared" si="29"/>
        <v>8754568.586</v>
      </c>
      <c r="G128" s="59">
        <f t="shared" si="29"/>
        <v>9739227.07</v>
      </c>
      <c r="H128" s="59">
        <f t="shared" si="29"/>
        <v>8717547.007</v>
      </c>
      <c r="I128" s="59">
        <f t="shared" si="29"/>
        <v>10213141.81</v>
      </c>
      <c r="J128" s="59">
        <f t="shared" si="29"/>
        <v>10315348.33</v>
      </c>
      <c r="K128" s="59">
        <f t="shared" si="29"/>
        <v>9435977.484</v>
      </c>
      <c r="L128" s="59">
        <f t="shared" si="29"/>
        <v>8765593.218</v>
      </c>
      <c r="M128" s="59">
        <f t="shared" si="29"/>
        <v>8708785.072</v>
      </c>
      <c r="N128" s="59">
        <f t="shared" si="29"/>
        <v>8944875.876</v>
      </c>
      <c r="O128" s="59">
        <f t="shared" si="29"/>
        <v>11032478.96</v>
      </c>
      <c r="P128" s="76">
        <f t="shared" si="28"/>
        <v>112829114.1</v>
      </c>
    </row>
    <row r="129">
      <c r="C129" s="2" t="s">
        <v>48</v>
      </c>
      <c r="D129" s="59">
        <f t="shared" ref="D129:O129" si="30">D46*$H$90</f>
        <v>37150490.36</v>
      </c>
      <c r="E129" s="59">
        <f t="shared" si="30"/>
        <v>25508416.78</v>
      </c>
      <c r="F129" s="59">
        <f t="shared" si="30"/>
        <v>30137602.36</v>
      </c>
      <c r="G129" s="59">
        <f t="shared" si="30"/>
        <v>33527289.19</v>
      </c>
      <c r="H129" s="59">
        <f t="shared" si="30"/>
        <v>30010155.57</v>
      </c>
      <c r="I129" s="59">
        <f t="shared" si="30"/>
        <v>35158740.67</v>
      </c>
      <c r="J129" s="59">
        <f t="shared" si="30"/>
        <v>35510586.62</v>
      </c>
      <c r="K129" s="59">
        <f t="shared" si="30"/>
        <v>32483352.49</v>
      </c>
      <c r="L129" s="59">
        <f t="shared" si="30"/>
        <v>30175554.65</v>
      </c>
      <c r="M129" s="59">
        <f t="shared" si="30"/>
        <v>29979992.61</v>
      </c>
      <c r="N129" s="59">
        <f t="shared" si="30"/>
        <v>30792735.2</v>
      </c>
      <c r="O129" s="59">
        <f t="shared" si="30"/>
        <v>37979308.81</v>
      </c>
      <c r="P129" s="76">
        <f t="shared" si="28"/>
        <v>388414225.3</v>
      </c>
    </row>
    <row r="130">
      <c r="C130" s="2" t="s">
        <v>57</v>
      </c>
      <c r="D130" s="59">
        <f t="shared" ref="D130:O130" si="31">D46*$H$98</f>
        <v>6475030.999</v>
      </c>
      <c r="E130" s="59">
        <f t="shared" si="31"/>
        <v>4445911.422</v>
      </c>
      <c r="F130" s="59">
        <f t="shared" si="31"/>
        <v>5252741.152</v>
      </c>
      <c r="G130" s="59">
        <f t="shared" si="31"/>
        <v>5843536.242</v>
      </c>
      <c r="H130" s="59">
        <f t="shared" si="31"/>
        <v>5230528.204</v>
      </c>
      <c r="I130" s="59">
        <f t="shared" si="31"/>
        <v>6127885.084</v>
      </c>
      <c r="J130" s="59">
        <f t="shared" si="31"/>
        <v>6189208.997</v>
      </c>
      <c r="K130" s="59">
        <f t="shared" si="31"/>
        <v>5661586.49</v>
      </c>
      <c r="L130" s="59">
        <f t="shared" si="31"/>
        <v>5259355.931</v>
      </c>
      <c r="M130" s="59">
        <f t="shared" si="31"/>
        <v>5225271.043</v>
      </c>
      <c r="N130" s="59">
        <f t="shared" si="31"/>
        <v>5366925.525</v>
      </c>
      <c r="O130" s="59">
        <f t="shared" si="31"/>
        <v>6619487.375</v>
      </c>
      <c r="P130" s="76">
        <f t="shared" si="28"/>
        <v>67697468.46</v>
      </c>
    </row>
    <row r="131">
      <c r="C131" s="2" t="s">
        <v>62</v>
      </c>
      <c r="D131" s="78">
        <f t="shared" ref="D131:O131" si="32">D46*$H$102</f>
        <v>17843426.78</v>
      </c>
      <c r="E131" s="78">
        <f t="shared" si="32"/>
        <v>12251724.35</v>
      </c>
      <c r="F131" s="78">
        <f t="shared" si="32"/>
        <v>14475127.94</v>
      </c>
      <c r="G131" s="78">
        <f t="shared" si="32"/>
        <v>16103198.75</v>
      </c>
      <c r="H131" s="78">
        <f t="shared" si="32"/>
        <v>14413915.09</v>
      </c>
      <c r="I131" s="78">
        <f t="shared" si="32"/>
        <v>16886786.93</v>
      </c>
      <c r="J131" s="78">
        <f t="shared" si="32"/>
        <v>17055778.97</v>
      </c>
      <c r="K131" s="78">
        <f t="shared" si="32"/>
        <v>15601794.65</v>
      </c>
      <c r="L131" s="78">
        <f t="shared" si="32"/>
        <v>14493356.48</v>
      </c>
      <c r="M131" s="78">
        <f t="shared" si="32"/>
        <v>14399427.79</v>
      </c>
      <c r="N131" s="78">
        <f t="shared" si="32"/>
        <v>14789789.06</v>
      </c>
      <c r="O131" s="78">
        <f t="shared" si="32"/>
        <v>18241509.32</v>
      </c>
      <c r="P131" s="76">
        <f t="shared" si="28"/>
        <v>186555836.1</v>
      </c>
      <c r="Q131" s="79">
        <f>SUM(P126:P131)</f>
        <v>1567522405</v>
      </c>
    </row>
    <row r="134">
      <c r="D134" s="17">
        <v>2026.0</v>
      </c>
      <c r="E134" s="18"/>
      <c r="F134" s="18"/>
      <c r="G134" s="18"/>
      <c r="H134" s="18"/>
      <c r="I134" s="18"/>
      <c r="J134" s="18"/>
      <c r="K134" s="18"/>
      <c r="L134" s="18"/>
      <c r="M134" s="18"/>
      <c r="N134" s="18"/>
      <c r="O134" s="19"/>
    </row>
    <row r="135">
      <c r="C135" s="14"/>
      <c r="D135" s="15" t="s">
        <v>1</v>
      </c>
      <c r="E135" s="16" t="s">
        <v>2</v>
      </c>
      <c r="F135" s="16" t="s">
        <v>3</v>
      </c>
      <c r="G135" s="16" t="s">
        <v>4</v>
      </c>
      <c r="H135" s="16" t="s">
        <v>5</v>
      </c>
      <c r="I135" s="16" t="s">
        <v>6</v>
      </c>
      <c r="J135" s="16" t="s">
        <v>7</v>
      </c>
      <c r="K135" s="16" t="s">
        <v>8</v>
      </c>
      <c r="L135" s="16" t="s">
        <v>9</v>
      </c>
      <c r="M135" s="16" t="s">
        <v>10</v>
      </c>
      <c r="N135" s="16" t="s">
        <v>11</v>
      </c>
      <c r="O135" s="16" t="s">
        <v>12</v>
      </c>
      <c r="P135" s="2" t="s">
        <v>82</v>
      </c>
    </row>
    <row r="136">
      <c r="C136" s="75" t="s">
        <v>83</v>
      </c>
      <c r="D136" s="59">
        <f t="shared" ref="D136:O136" si="33">D47*$H$58</f>
        <v>48429120.74</v>
      </c>
      <c r="E136" s="59">
        <f t="shared" si="33"/>
        <v>33252594.64</v>
      </c>
      <c r="F136" s="59">
        <f t="shared" si="33"/>
        <v>39287168.74</v>
      </c>
      <c r="G136" s="59">
        <f t="shared" si="33"/>
        <v>43705940.91</v>
      </c>
      <c r="H136" s="59">
        <f t="shared" si="33"/>
        <v>39121030</v>
      </c>
      <c r="I136" s="59">
        <f t="shared" si="33"/>
        <v>45832689.71</v>
      </c>
      <c r="J136" s="59">
        <f t="shared" si="33"/>
        <v>46291353.64</v>
      </c>
      <c r="K136" s="59">
        <f t="shared" si="33"/>
        <v>42345072.29</v>
      </c>
      <c r="L136" s="59">
        <f t="shared" si="33"/>
        <v>39336643.09</v>
      </c>
      <c r="M136" s="59">
        <f t="shared" si="33"/>
        <v>39081709.77</v>
      </c>
      <c r="N136" s="59">
        <f t="shared" si="33"/>
        <v>40141195.36</v>
      </c>
      <c r="O136" s="59">
        <f t="shared" si="33"/>
        <v>49509562.71</v>
      </c>
      <c r="P136" s="76">
        <f t="shared" ref="P136:P141" si="35">SUM(D136:O136)</f>
        <v>506334081.6</v>
      </c>
    </row>
    <row r="137">
      <c r="C137" s="77" t="s">
        <v>37</v>
      </c>
      <c r="D137" s="59">
        <f t="shared" ref="D137:O137" si="34">D47*$H$72</f>
        <v>29238362.2</v>
      </c>
      <c r="E137" s="59">
        <f t="shared" si="34"/>
        <v>20075760.02</v>
      </c>
      <c r="F137" s="59">
        <f t="shared" si="34"/>
        <v>23719044.49</v>
      </c>
      <c r="G137" s="59">
        <f t="shared" si="34"/>
        <v>26386812.54</v>
      </c>
      <c r="H137" s="59">
        <f t="shared" si="34"/>
        <v>23618740.69</v>
      </c>
      <c r="I137" s="59">
        <f t="shared" si="34"/>
        <v>27670805.54</v>
      </c>
      <c r="J137" s="59">
        <f t="shared" si="34"/>
        <v>27947717.07</v>
      </c>
      <c r="K137" s="59">
        <f t="shared" si="34"/>
        <v>25565208.33</v>
      </c>
      <c r="L137" s="59">
        <f t="shared" si="34"/>
        <v>23748913.89</v>
      </c>
      <c r="M137" s="59">
        <f t="shared" si="34"/>
        <v>23595001.69</v>
      </c>
      <c r="N137" s="59">
        <f t="shared" si="34"/>
        <v>24234650.37</v>
      </c>
      <c r="O137" s="59">
        <f t="shared" si="34"/>
        <v>29890662.99</v>
      </c>
      <c r="P137" s="76">
        <f t="shared" si="35"/>
        <v>305691679.8</v>
      </c>
    </row>
    <row r="138">
      <c r="C138" s="2" t="s">
        <v>43</v>
      </c>
      <c r="D138" s="59">
        <f t="shared" ref="D138:O138" si="36">D47*$H$82</f>
        <v>10791718.33</v>
      </c>
      <c r="E138" s="59">
        <f t="shared" si="36"/>
        <v>7409852.37</v>
      </c>
      <c r="F138" s="59">
        <f t="shared" si="36"/>
        <v>8754568.586</v>
      </c>
      <c r="G138" s="59">
        <f t="shared" si="36"/>
        <v>9739227.07</v>
      </c>
      <c r="H138" s="59">
        <f t="shared" si="36"/>
        <v>8717547.007</v>
      </c>
      <c r="I138" s="59">
        <f t="shared" si="36"/>
        <v>10213141.81</v>
      </c>
      <c r="J138" s="59">
        <f t="shared" si="36"/>
        <v>10315348.33</v>
      </c>
      <c r="K138" s="59">
        <f t="shared" si="36"/>
        <v>9435977.484</v>
      </c>
      <c r="L138" s="59">
        <f t="shared" si="36"/>
        <v>8765593.218</v>
      </c>
      <c r="M138" s="59">
        <f t="shared" si="36"/>
        <v>8708785.072</v>
      </c>
      <c r="N138" s="59">
        <f t="shared" si="36"/>
        <v>8944875.876</v>
      </c>
      <c r="O138" s="59">
        <f t="shared" si="36"/>
        <v>11032478.96</v>
      </c>
      <c r="P138" s="76">
        <f t="shared" si="35"/>
        <v>112829114.1</v>
      </c>
    </row>
    <row r="139">
      <c r="C139" s="2" t="s">
        <v>48</v>
      </c>
      <c r="D139" s="59">
        <f t="shared" ref="D139:O139" si="37">D47*$H$90</f>
        <v>37150490.36</v>
      </c>
      <c r="E139" s="59">
        <f t="shared" si="37"/>
        <v>25508416.78</v>
      </c>
      <c r="F139" s="59">
        <f t="shared" si="37"/>
        <v>30137602.36</v>
      </c>
      <c r="G139" s="59">
        <f t="shared" si="37"/>
        <v>33527289.19</v>
      </c>
      <c r="H139" s="59">
        <f t="shared" si="37"/>
        <v>30010155.57</v>
      </c>
      <c r="I139" s="59">
        <f t="shared" si="37"/>
        <v>35158740.67</v>
      </c>
      <c r="J139" s="59">
        <f t="shared" si="37"/>
        <v>35510586.62</v>
      </c>
      <c r="K139" s="59">
        <f t="shared" si="37"/>
        <v>32483352.49</v>
      </c>
      <c r="L139" s="59">
        <f t="shared" si="37"/>
        <v>30175554.65</v>
      </c>
      <c r="M139" s="59">
        <f t="shared" si="37"/>
        <v>29979992.61</v>
      </c>
      <c r="N139" s="59">
        <f t="shared" si="37"/>
        <v>30792735.2</v>
      </c>
      <c r="O139" s="59">
        <f t="shared" si="37"/>
        <v>37979308.81</v>
      </c>
      <c r="P139" s="76">
        <f t="shared" si="35"/>
        <v>388414225.3</v>
      </c>
    </row>
    <row r="140">
      <c r="C140" s="2" t="s">
        <v>57</v>
      </c>
      <c r="D140" s="59">
        <f t="shared" ref="D140:O140" si="38">D47*$H$98</f>
        <v>6475030.999</v>
      </c>
      <c r="E140" s="59">
        <f t="shared" si="38"/>
        <v>4445911.422</v>
      </c>
      <c r="F140" s="59">
        <f t="shared" si="38"/>
        <v>5252741.152</v>
      </c>
      <c r="G140" s="59">
        <f t="shared" si="38"/>
        <v>5843536.242</v>
      </c>
      <c r="H140" s="59">
        <f t="shared" si="38"/>
        <v>5230528.204</v>
      </c>
      <c r="I140" s="59">
        <f t="shared" si="38"/>
        <v>6127885.084</v>
      </c>
      <c r="J140" s="59">
        <f t="shared" si="38"/>
        <v>6189208.997</v>
      </c>
      <c r="K140" s="59">
        <f t="shared" si="38"/>
        <v>5661586.49</v>
      </c>
      <c r="L140" s="59">
        <f t="shared" si="38"/>
        <v>5259355.931</v>
      </c>
      <c r="M140" s="59">
        <f t="shared" si="38"/>
        <v>5225271.043</v>
      </c>
      <c r="N140" s="59">
        <f t="shared" si="38"/>
        <v>5366925.525</v>
      </c>
      <c r="O140" s="59">
        <f t="shared" si="38"/>
        <v>6619487.375</v>
      </c>
      <c r="P140" s="76">
        <f t="shared" si="35"/>
        <v>67697468.46</v>
      </c>
    </row>
    <row r="141">
      <c r="C141" s="2" t="s">
        <v>62</v>
      </c>
      <c r="D141" s="78">
        <f t="shared" ref="D141:O141" si="39">D47*$H$102</f>
        <v>17843426.78</v>
      </c>
      <c r="E141" s="78">
        <f t="shared" si="39"/>
        <v>12251724.35</v>
      </c>
      <c r="F141" s="78">
        <f t="shared" si="39"/>
        <v>14475127.94</v>
      </c>
      <c r="G141" s="78">
        <f t="shared" si="39"/>
        <v>16103198.75</v>
      </c>
      <c r="H141" s="78">
        <f t="shared" si="39"/>
        <v>14413915.09</v>
      </c>
      <c r="I141" s="78">
        <f t="shared" si="39"/>
        <v>16886786.93</v>
      </c>
      <c r="J141" s="78">
        <f t="shared" si="39"/>
        <v>17055778.97</v>
      </c>
      <c r="K141" s="78">
        <f t="shared" si="39"/>
        <v>15601794.65</v>
      </c>
      <c r="L141" s="78">
        <f t="shared" si="39"/>
        <v>14493356.48</v>
      </c>
      <c r="M141" s="78">
        <f t="shared" si="39"/>
        <v>14399427.79</v>
      </c>
      <c r="N141" s="78">
        <f t="shared" si="39"/>
        <v>14789789.06</v>
      </c>
      <c r="O141" s="78">
        <f t="shared" si="39"/>
        <v>18241509.32</v>
      </c>
      <c r="P141" s="76">
        <f t="shared" si="35"/>
        <v>186555836.1</v>
      </c>
      <c r="Q141" s="79">
        <f>SUM(P136:P141)</f>
        <v>1567522405</v>
      </c>
    </row>
    <row r="144">
      <c r="D144" s="17">
        <v>2027.0</v>
      </c>
      <c r="E144" s="18"/>
      <c r="F144" s="18"/>
      <c r="G144" s="18"/>
      <c r="H144" s="18"/>
      <c r="I144" s="18"/>
      <c r="J144" s="18"/>
      <c r="K144" s="18"/>
      <c r="L144" s="18"/>
      <c r="M144" s="18"/>
      <c r="N144" s="18"/>
      <c r="O144" s="19"/>
    </row>
    <row r="145">
      <c r="C145" s="14"/>
      <c r="D145" s="15" t="s">
        <v>1</v>
      </c>
      <c r="E145" s="16" t="s">
        <v>2</v>
      </c>
      <c r="F145" s="16" t="s">
        <v>3</v>
      </c>
      <c r="G145" s="16" t="s">
        <v>4</v>
      </c>
      <c r="H145" s="16" t="s">
        <v>5</v>
      </c>
      <c r="I145" s="16" t="s">
        <v>6</v>
      </c>
      <c r="J145" s="16" t="s">
        <v>7</v>
      </c>
      <c r="K145" s="16" t="s">
        <v>8</v>
      </c>
      <c r="L145" s="16" t="s">
        <v>9</v>
      </c>
      <c r="M145" s="16" t="s">
        <v>10</v>
      </c>
      <c r="N145" s="16" t="s">
        <v>11</v>
      </c>
      <c r="O145" s="16" t="s">
        <v>12</v>
      </c>
      <c r="P145" s="2" t="s">
        <v>82</v>
      </c>
    </row>
    <row r="146">
      <c r="C146" s="75" t="s">
        <v>83</v>
      </c>
      <c r="D146" s="59">
        <f t="shared" ref="D146:O146" si="40">D48*$H$58</f>
        <v>48429120.74</v>
      </c>
      <c r="E146" s="59">
        <f t="shared" si="40"/>
        <v>33252594.64</v>
      </c>
      <c r="F146" s="59">
        <f t="shared" si="40"/>
        <v>39287168.74</v>
      </c>
      <c r="G146" s="59">
        <f t="shared" si="40"/>
        <v>43705940.91</v>
      </c>
      <c r="H146" s="59">
        <f t="shared" si="40"/>
        <v>39121030</v>
      </c>
      <c r="I146" s="59">
        <f t="shared" si="40"/>
        <v>45832689.71</v>
      </c>
      <c r="J146" s="59">
        <f t="shared" si="40"/>
        <v>46291353.64</v>
      </c>
      <c r="K146" s="59">
        <f t="shared" si="40"/>
        <v>42345072.29</v>
      </c>
      <c r="L146" s="59">
        <f t="shared" si="40"/>
        <v>39336643.09</v>
      </c>
      <c r="M146" s="59">
        <f t="shared" si="40"/>
        <v>39081709.77</v>
      </c>
      <c r="N146" s="59">
        <f t="shared" si="40"/>
        <v>40141195.36</v>
      </c>
      <c r="O146" s="59">
        <f t="shared" si="40"/>
        <v>49509562.71</v>
      </c>
      <c r="P146" s="76">
        <f t="shared" ref="P146:P151" si="42">SUM(D146:O146)</f>
        <v>506334081.6</v>
      </c>
    </row>
    <row r="147">
      <c r="C147" s="77" t="s">
        <v>37</v>
      </c>
      <c r="D147" s="59">
        <f t="shared" ref="D147:O147" si="41">D48*$H$72</f>
        <v>29238362.2</v>
      </c>
      <c r="E147" s="59">
        <f t="shared" si="41"/>
        <v>20075760.02</v>
      </c>
      <c r="F147" s="59">
        <f t="shared" si="41"/>
        <v>23719044.49</v>
      </c>
      <c r="G147" s="59">
        <f t="shared" si="41"/>
        <v>26386812.54</v>
      </c>
      <c r="H147" s="59">
        <f t="shared" si="41"/>
        <v>23618740.69</v>
      </c>
      <c r="I147" s="59">
        <f t="shared" si="41"/>
        <v>27670805.54</v>
      </c>
      <c r="J147" s="59">
        <f t="shared" si="41"/>
        <v>27947717.07</v>
      </c>
      <c r="K147" s="59">
        <f t="shared" si="41"/>
        <v>25565208.33</v>
      </c>
      <c r="L147" s="59">
        <f t="shared" si="41"/>
        <v>23748913.89</v>
      </c>
      <c r="M147" s="59">
        <f t="shared" si="41"/>
        <v>23595001.69</v>
      </c>
      <c r="N147" s="59">
        <f t="shared" si="41"/>
        <v>24234650.37</v>
      </c>
      <c r="O147" s="59">
        <f t="shared" si="41"/>
        <v>29890662.99</v>
      </c>
      <c r="P147" s="76">
        <f t="shared" si="42"/>
        <v>305691679.8</v>
      </c>
    </row>
    <row r="148">
      <c r="C148" s="2" t="s">
        <v>43</v>
      </c>
      <c r="D148" s="59">
        <f t="shared" ref="D148:O148" si="43">D48*$H$82</f>
        <v>10791718.33</v>
      </c>
      <c r="E148" s="59">
        <f t="shared" si="43"/>
        <v>7409852.37</v>
      </c>
      <c r="F148" s="59">
        <f t="shared" si="43"/>
        <v>8754568.586</v>
      </c>
      <c r="G148" s="59">
        <f t="shared" si="43"/>
        <v>9739227.07</v>
      </c>
      <c r="H148" s="59">
        <f t="shared" si="43"/>
        <v>8717547.007</v>
      </c>
      <c r="I148" s="59">
        <f t="shared" si="43"/>
        <v>10213141.81</v>
      </c>
      <c r="J148" s="59">
        <f t="shared" si="43"/>
        <v>10315348.33</v>
      </c>
      <c r="K148" s="59">
        <f t="shared" si="43"/>
        <v>9435977.484</v>
      </c>
      <c r="L148" s="59">
        <f t="shared" si="43"/>
        <v>8765593.218</v>
      </c>
      <c r="M148" s="59">
        <f t="shared" si="43"/>
        <v>8708785.072</v>
      </c>
      <c r="N148" s="59">
        <f t="shared" si="43"/>
        <v>8944875.876</v>
      </c>
      <c r="O148" s="59">
        <f t="shared" si="43"/>
        <v>11032478.96</v>
      </c>
      <c r="P148" s="76">
        <f t="shared" si="42"/>
        <v>112829114.1</v>
      </c>
    </row>
    <row r="149">
      <c r="C149" s="2" t="s">
        <v>48</v>
      </c>
      <c r="D149" s="59">
        <f t="shared" ref="D149:O149" si="44">D48*$H$90</f>
        <v>37150490.36</v>
      </c>
      <c r="E149" s="59">
        <f t="shared" si="44"/>
        <v>25508416.78</v>
      </c>
      <c r="F149" s="59">
        <f t="shared" si="44"/>
        <v>30137602.36</v>
      </c>
      <c r="G149" s="59">
        <f t="shared" si="44"/>
        <v>33527289.19</v>
      </c>
      <c r="H149" s="59">
        <f t="shared" si="44"/>
        <v>30010155.57</v>
      </c>
      <c r="I149" s="59">
        <f t="shared" si="44"/>
        <v>35158740.67</v>
      </c>
      <c r="J149" s="59">
        <f t="shared" si="44"/>
        <v>35510586.62</v>
      </c>
      <c r="K149" s="59">
        <f t="shared" si="44"/>
        <v>32483352.49</v>
      </c>
      <c r="L149" s="59">
        <f t="shared" si="44"/>
        <v>30175554.65</v>
      </c>
      <c r="M149" s="59">
        <f t="shared" si="44"/>
        <v>29979992.61</v>
      </c>
      <c r="N149" s="59">
        <f t="shared" si="44"/>
        <v>30792735.2</v>
      </c>
      <c r="O149" s="59">
        <f t="shared" si="44"/>
        <v>37979308.81</v>
      </c>
      <c r="P149" s="76">
        <f t="shared" si="42"/>
        <v>388414225.3</v>
      </c>
    </row>
    <row r="150">
      <c r="C150" s="2" t="s">
        <v>57</v>
      </c>
      <c r="D150" s="59">
        <f t="shared" ref="D150:O150" si="45">D48*$H$98</f>
        <v>6475030.999</v>
      </c>
      <c r="E150" s="59">
        <f t="shared" si="45"/>
        <v>4445911.422</v>
      </c>
      <c r="F150" s="59">
        <f t="shared" si="45"/>
        <v>5252741.152</v>
      </c>
      <c r="G150" s="59">
        <f t="shared" si="45"/>
        <v>5843536.242</v>
      </c>
      <c r="H150" s="59">
        <f t="shared" si="45"/>
        <v>5230528.204</v>
      </c>
      <c r="I150" s="59">
        <f t="shared" si="45"/>
        <v>6127885.084</v>
      </c>
      <c r="J150" s="59">
        <f t="shared" si="45"/>
        <v>6189208.997</v>
      </c>
      <c r="K150" s="59">
        <f t="shared" si="45"/>
        <v>5661586.49</v>
      </c>
      <c r="L150" s="59">
        <f t="shared" si="45"/>
        <v>5259355.931</v>
      </c>
      <c r="M150" s="59">
        <f t="shared" si="45"/>
        <v>5225271.043</v>
      </c>
      <c r="N150" s="59">
        <f t="shared" si="45"/>
        <v>5366925.525</v>
      </c>
      <c r="O150" s="59">
        <f t="shared" si="45"/>
        <v>6619487.375</v>
      </c>
      <c r="P150" s="76">
        <f t="shared" si="42"/>
        <v>67697468.46</v>
      </c>
    </row>
    <row r="151">
      <c r="C151" s="2" t="s">
        <v>62</v>
      </c>
      <c r="D151" s="78">
        <f t="shared" ref="D151:O151" si="46">D48*$H$102</f>
        <v>17843426.78</v>
      </c>
      <c r="E151" s="78">
        <f t="shared" si="46"/>
        <v>12251724.35</v>
      </c>
      <c r="F151" s="78">
        <f t="shared" si="46"/>
        <v>14475127.94</v>
      </c>
      <c r="G151" s="78">
        <f t="shared" si="46"/>
        <v>16103198.75</v>
      </c>
      <c r="H151" s="78">
        <f t="shared" si="46"/>
        <v>14413915.09</v>
      </c>
      <c r="I151" s="78">
        <f t="shared" si="46"/>
        <v>16886786.93</v>
      </c>
      <c r="J151" s="78">
        <f t="shared" si="46"/>
        <v>17055778.97</v>
      </c>
      <c r="K151" s="78">
        <f t="shared" si="46"/>
        <v>15601794.65</v>
      </c>
      <c r="L151" s="78">
        <f t="shared" si="46"/>
        <v>14493356.48</v>
      </c>
      <c r="M151" s="78">
        <f t="shared" si="46"/>
        <v>14399427.79</v>
      </c>
      <c r="N151" s="78">
        <f t="shared" si="46"/>
        <v>14789789.06</v>
      </c>
      <c r="O151" s="78">
        <f t="shared" si="46"/>
        <v>18241509.32</v>
      </c>
      <c r="P151" s="76">
        <f t="shared" si="42"/>
        <v>186555836.1</v>
      </c>
      <c r="Q151" s="79">
        <f>SUM(P146:P151)</f>
        <v>1567522405</v>
      </c>
    </row>
    <row r="154">
      <c r="D154" s="17">
        <v>2028.0</v>
      </c>
      <c r="E154" s="18"/>
      <c r="F154" s="18"/>
      <c r="G154" s="18"/>
      <c r="H154" s="18"/>
      <c r="I154" s="18"/>
      <c r="J154" s="18"/>
      <c r="K154" s="18"/>
      <c r="L154" s="18"/>
      <c r="M154" s="18"/>
      <c r="N154" s="18"/>
      <c r="O154" s="19"/>
    </row>
    <row r="155">
      <c r="C155" s="14"/>
      <c r="D155" s="15" t="s">
        <v>1</v>
      </c>
      <c r="E155" s="16" t="s">
        <v>2</v>
      </c>
      <c r="F155" s="16" t="s">
        <v>3</v>
      </c>
      <c r="G155" s="16" t="s">
        <v>4</v>
      </c>
      <c r="H155" s="16" t="s">
        <v>5</v>
      </c>
      <c r="I155" s="16" t="s">
        <v>6</v>
      </c>
      <c r="J155" s="16" t="s">
        <v>7</v>
      </c>
      <c r="K155" s="16" t="s">
        <v>8</v>
      </c>
      <c r="L155" s="16" t="s">
        <v>9</v>
      </c>
      <c r="M155" s="16" t="s">
        <v>10</v>
      </c>
      <c r="N155" s="16" t="s">
        <v>11</v>
      </c>
      <c r="O155" s="16" t="s">
        <v>12</v>
      </c>
      <c r="P155" s="2" t="s">
        <v>82</v>
      </c>
    </row>
    <row r="156">
      <c r="C156" s="75" t="s">
        <v>83</v>
      </c>
      <c r="D156" s="59">
        <f t="shared" ref="D156:O156" si="47">D49*$H$58</f>
        <v>48429120.74</v>
      </c>
      <c r="E156" s="59">
        <f t="shared" si="47"/>
        <v>33252594.64</v>
      </c>
      <c r="F156" s="59">
        <f t="shared" si="47"/>
        <v>39287168.74</v>
      </c>
      <c r="G156" s="59">
        <f t="shared" si="47"/>
        <v>43705940.91</v>
      </c>
      <c r="H156" s="59">
        <f t="shared" si="47"/>
        <v>39121030</v>
      </c>
      <c r="I156" s="59">
        <f t="shared" si="47"/>
        <v>45832689.71</v>
      </c>
      <c r="J156" s="59">
        <f t="shared" si="47"/>
        <v>46291353.64</v>
      </c>
      <c r="K156" s="59">
        <f t="shared" si="47"/>
        <v>42345072.29</v>
      </c>
      <c r="L156" s="59">
        <f t="shared" si="47"/>
        <v>39336643.09</v>
      </c>
      <c r="M156" s="59">
        <f t="shared" si="47"/>
        <v>39081709.77</v>
      </c>
      <c r="N156" s="59">
        <f t="shared" si="47"/>
        <v>40141195.36</v>
      </c>
      <c r="O156" s="59">
        <f t="shared" si="47"/>
        <v>49509562.71</v>
      </c>
      <c r="P156" s="76">
        <f t="shared" ref="P156:P161" si="49">SUM(D156:O156)</f>
        <v>506334081.6</v>
      </c>
    </row>
    <row r="157">
      <c r="C157" s="77" t="s">
        <v>37</v>
      </c>
      <c r="D157" s="59">
        <f t="shared" ref="D157:O157" si="48">D49*$H$72</f>
        <v>29238362.2</v>
      </c>
      <c r="E157" s="59">
        <f t="shared" si="48"/>
        <v>20075760.02</v>
      </c>
      <c r="F157" s="59">
        <f t="shared" si="48"/>
        <v>23719044.49</v>
      </c>
      <c r="G157" s="59">
        <f t="shared" si="48"/>
        <v>26386812.54</v>
      </c>
      <c r="H157" s="59">
        <f t="shared" si="48"/>
        <v>23618740.69</v>
      </c>
      <c r="I157" s="59">
        <f t="shared" si="48"/>
        <v>27670805.54</v>
      </c>
      <c r="J157" s="59">
        <f t="shared" si="48"/>
        <v>27947717.07</v>
      </c>
      <c r="K157" s="59">
        <f t="shared" si="48"/>
        <v>25565208.33</v>
      </c>
      <c r="L157" s="59">
        <f t="shared" si="48"/>
        <v>23748913.89</v>
      </c>
      <c r="M157" s="59">
        <f t="shared" si="48"/>
        <v>23595001.69</v>
      </c>
      <c r="N157" s="59">
        <f t="shared" si="48"/>
        <v>24234650.37</v>
      </c>
      <c r="O157" s="59">
        <f t="shared" si="48"/>
        <v>29890662.99</v>
      </c>
      <c r="P157" s="76">
        <f t="shared" si="49"/>
        <v>305691679.8</v>
      </c>
    </row>
    <row r="158">
      <c r="C158" s="2" t="s">
        <v>43</v>
      </c>
      <c r="D158" s="59">
        <f t="shared" ref="D158:O158" si="50">D49*$H$82</f>
        <v>10791718.33</v>
      </c>
      <c r="E158" s="59">
        <f t="shared" si="50"/>
        <v>7409852.37</v>
      </c>
      <c r="F158" s="59">
        <f t="shared" si="50"/>
        <v>8754568.586</v>
      </c>
      <c r="G158" s="59">
        <f t="shared" si="50"/>
        <v>9739227.07</v>
      </c>
      <c r="H158" s="59">
        <f t="shared" si="50"/>
        <v>8717547.007</v>
      </c>
      <c r="I158" s="59">
        <f t="shared" si="50"/>
        <v>10213141.81</v>
      </c>
      <c r="J158" s="59">
        <f t="shared" si="50"/>
        <v>10315348.33</v>
      </c>
      <c r="K158" s="59">
        <f t="shared" si="50"/>
        <v>9435977.484</v>
      </c>
      <c r="L158" s="59">
        <f t="shared" si="50"/>
        <v>8765593.218</v>
      </c>
      <c r="M158" s="59">
        <f t="shared" si="50"/>
        <v>8708785.072</v>
      </c>
      <c r="N158" s="59">
        <f t="shared" si="50"/>
        <v>8944875.876</v>
      </c>
      <c r="O158" s="59">
        <f t="shared" si="50"/>
        <v>11032478.96</v>
      </c>
      <c r="P158" s="76">
        <f t="shared" si="49"/>
        <v>112829114.1</v>
      </c>
    </row>
    <row r="159">
      <c r="C159" s="2" t="s">
        <v>48</v>
      </c>
      <c r="D159" s="59">
        <f t="shared" ref="D159:O159" si="51">D49*$H$90</f>
        <v>37150490.36</v>
      </c>
      <c r="E159" s="59">
        <f t="shared" si="51"/>
        <v>25508416.78</v>
      </c>
      <c r="F159" s="59">
        <f t="shared" si="51"/>
        <v>30137602.36</v>
      </c>
      <c r="G159" s="59">
        <f t="shared" si="51"/>
        <v>33527289.19</v>
      </c>
      <c r="H159" s="59">
        <f t="shared" si="51"/>
        <v>30010155.57</v>
      </c>
      <c r="I159" s="59">
        <f t="shared" si="51"/>
        <v>35158740.67</v>
      </c>
      <c r="J159" s="59">
        <f t="shared" si="51"/>
        <v>35510586.62</v>
      </c>
      <c r="K159" s="59">
        <f t="shared" si="51"/>
        <v>32483352.49</v>
      </c>
      <c r="L159" s="59">
        <f t="shared" si="51"/>
        <v>30175554.65</v>
      </c>
      <c r="M159" s="59">
        <f t="shared" si="51"/>
        <v>29979992.61</v>
      </c>
      <c r="N159" s="59">
        <f t="shared" si="51"/>
        <v>30792735.2</v>
      </c>
      <c r="O159" s="59">
        <f t="shared" si="51"/>
        <v>37979308.81</v>
      </c>
      <c r="P159" s="76">
        <f t="shared" si="49"/>
        <v>388414225.3</v>
      </c>
    </row>
    <row r="160">
      <c r="C160" s="2" t="s">
        <v>57</v>
      </c>
      <c r="D160" s="59">
        <f t="shared" ref="D160:O160" si="52">D49*$H$98</f>
        <v>6475030.999</v>
      </c>
      <c r="E160" s="59">
        <f t="shared" si="52"/>
        <v>4445911.422</v>
      </c>
      <c r="F160" s="59">
        <f t="shared" si="52"/>
        <v>5252741.152</v>
      </c>
      <c r="G160" s="59">
        <f t="shared" si="52"/>
        <v>5843536.242</v>
      </c>
      <c r="H160" s="59">
        <f t="shared" si="52"/>
        <v>5230528.204</v>
      </c>
      <c r="I160" s="59">
        <f t="shared" si="52"/>
        <v>6127885.084</v>
      </c>
      <c r="J160" s="59">
        <f t="shared" si="52"/>
        <v>6189208.997</v>
      </c>
      <c r="K160" s="59">
        <f t="shared" si="52"/>
        <v>5661586.49</v>
      </c>
      <c r="L160" s="59">
        <f t="shared" si="52"/>
        <v>5259355.931</v>
      </c>
      <c r="M160" s="59">
        <f t="shared" si="52"/>
        <v>5225271.043</v>
      </c>
      <c r="N160" s="59">
        <f t="shared" si="52"/>
        <v>5366925.525</v>
      </c>
      <c r="O160" s="59">
        <f t="shared" si="52"/>
        <v>6619487.375</v>
      </c>
      <c r="P160" s="76">
        <f t="shared" si="49"/>
        <v>67697468.46</v>
      </c>
    </row>
    <row r="161">
      <c r="C161" s="2" t="s">
        <v>62</v>
      </c>
      <c r="D161" s="78">
        <f t="shared" ref="D161:O161" si="53">D49*$H$102</f>
        <v>17843426.78</v>
      </c>
      <c r="E161" s="78">
        <f t="shared" si="53"/>
        <v>12251724.35</v>
      </c>
      <c r="F161" s="78">
        <f t="shared" si="53"/>
        <v>14475127.94</v>
      </c>
      <c r="G161" s="78">
        <f t="shared" si="53"/>
        <v>16103198.75</v>
      </c>
      <c r="H161" s="78">
        <f t="shared" si="53"/>
        <v>14413915.09</v>
      </c>
      <c r="I161" s="78">
        <f t="shared" si="53"/>
        <v>16886786.93</v>
      </c>
      <c r="J161" s="78">
        <f t="shared" si="53"/>
        <v>17055778.97</v>
      </c>
      <c r="K161" s="78">
        <f t="shared" si="53"/>
        <v>15601794.65</v>
      </c>
      <c r="L161" s="78">
        <f t="shared" si="53"/>
        <v>14493356.48</v>
      </c>
      <c r="M161" s="78">
        <f t="shared" si="53"/>
        <v>14399427.79</v>
      </c>
      <c r="N161" s="78">
        <f t="shared" si="53"/>
        <v>14789789.06</v>
      </c>
      <c r="O161" s="78">
        <f t="shared" si="53"/>
        <v>18241509.32</v>
      </c>
      <c r="P161" s="76">
        <f t="shared" si="49"/>
        <v>186555836.1</v>
      </c>
      <c r="Q161" s="79">
        <f>SUM(P156:P161)</f>
        <v>1567522405</v>
      </c>
    </row>
    <row r="164">
      <c r="D164" s="17">
        <v>2029.0</v>
      </c>
      <c r="E164" s="18"/>
      <c r="F164" s="18"/>
      <c r="G164" s="18"/>
      <c r="H164" s="18"/>
      <c r="I164" s="18"/>
      <c r="J164" s="18"/>
      <c r="K164" s="18"/>
      <c r="L164" s="18"/>
      <c r="M164" s="18"/>
      <c r="N164" s="18"/>
      <c r="O164" s="19"/>
    </row>
    <row r="165">
      <c r="C165" s="14"/>
      <c r="D165" s="15" t="s">
        <v>1</v>
      </c>
      <c r="E165" s="16" t="s">
        <v>2</v>
      </c>
      <c r="F165" s="16" t="s">
        <v>3</v>
      </c>
      <c r="G165" s="16" t="s">
        <v>4</v>
      </c>
      <c r="H165" s="16" t="s">
        <v>5</v>
      </c>
      <c r="I165" s="16" t="s">
        <v>6</v>
      </c>
      <c r="J165" s="16" t="s">
        <v>7</v>
      </c>
      <c r="K165" s="16" t="s">
        <v>8</v>
      </c>
      <c r="L165" s="16" t="s">
        <v>9</v>
      </c>
      <c r="M165" s="16" t="s">
        <v>10</v>
      </c>
      <c r="N165" s="16" t="s">
        <v>11</v>
      </c>
      <c r="O165" s="16" t="s">
        <v>12</v>
      </c>
      <c r="P165" s="2" t="s">
        <v>82</v>
      </c>
    </row>
    <row r="166">
      <c r="C166" s="75" t="s">
        <v>83</v>
      </c>
      <c r="D166" s="59">
        <f t="shared" ref="D166:O166" si="54">D50*$H$58</f>
        <v>48429120.74</v>
      </c>
      <c r="E166" s="59">
        <f t="shared" si="54"/>
        <v>33252594.64</v>
      </c>
      <c r="F166" s="59">
        <f t="shared" si="54"/>
        <v>39287168.74</v>
      </c>
      <c r="G166" s="59">
        <f t="shared" si="54"/>
        <v>43705940.91</v>
      </c>
      <c r="H166" s="59">
        <f t="shared" si="54"/>
        <v>39121030</v>
      </c>
      <c r="I166" s="59">
        <f t="shared" si="54"/>
        <v>45832689.71</v>
      </c>
      <c r="J166" s="59">
        <f t="shared" si="54"/>
        <v>46291353.64</v>
      </c>
      <c r="K166" s="59">
        <f t="shared" si="54"/>
        <v>42345072.29</v>
      </c>
      <c r="L166" s="59">
        <f t="shared" si="54"/>
        <v>39336643.09</v>
      </c>
      <c r="M166" s="59">
        <f t="shared" si="54"/>
        <v>39081709.77</v>
      </c>
      <c r="N166" s="59">
        <f t="shared" si="54"/>
        <v>40141195.36</v>
      </c>
      <c r="O166" s="59">
        <f t="shared" si="54"/>
        <v>49509562.71</v>
      </c>
      <c r="P166" s="76">
        <f t="shared" ref="P166:P171" si="56">SUM(D166:O166)</f>
        <v>506334081.6</v>
      </c>
    </row>
    <row r="167">
      <c r="C167" s="77" t="s">
        <v>37</v>
      </c>
      <c r="D167" s="59">
        <f t="shared" ref="D167:O167" si="55">D50*$H$72</f>
        <v>29238362.2</v>
      </c>
      <c r="E167" s="59">
        <f t="shared" si="55"/>
        <v>20075760.02</v>
      </c>
      <c r="F167" s="59">
        <f t="shared" si="55"/>
        <v>23719044.49</v>
      </c>
      <c r="G167" s="59">
        <f t="shared" si="55"/>
        <v>26386812.54</v>
      </c>
      <c r="H167" s="59">
        <f t="shared" si="55"/>
        <v>23618740.69</v>
      </c>
      <c r="I167" s="59">
        <f t="shared" si="55"/>
        <v>27670805.54</v>
      </c>
      <c r="J167" s="59">
        <f t="shared" si="55"/>
        <v>27947717.07</v>
      </c>
      <c r="K167" s="59">
        <f t="shared" si="55"/>
        <v>25565208.33</v>
      </c>
      <c r="L167" s="59">
        <f t="shared" si="55"/>
        <v>23748913.89</v>
      </c>
      <c r="M167" s="59">
        <f t="shared" si="55"/>
        <v>23595001.69</v>
      </c>
      <c r="N167" s="59">
        <f t="shared" si="55"/>
        <v>24234650.37</v>
      </c>
      <c r="O167" s="59">
        <f t="shared" si="55"/>
        <v>29890662.99</v>
      </c>
      <c r="P167" s="76">
        <f t="shared" si="56"/>
        <v>305691679.8</v>
      </c>
    </row>
    <row r="168">
      <c r="C168" s="2" t="s">
        <v>43</v>
      </c>
      <c r="D168" s="59">
        <f t="shared" ref="D168:O168" si="57">D50*$H$82</f>
        <v>10791718.33</v>
      </c>
      <c r="E168" s="59">
        <f t="shared" si="57"/>
        <v>7409852.37</v>
      </c>
      <c r="F168" s="59">
        <f t="shared" si="57"/>
        <v>8754568.586</v>
      </c>
      <c r="G168" s="59">
        <f t="shared" si="57"/>
        <v>9739227.07</v>
      </c>
      <c r="H168" s="59">
        <f t="shared" si="57"/>
        <v>8717547.007</v>
      </c>
      <c r="I168" s="59">
        <f t="shared" si="57"/>
        <v>10213141.81</v>
      </c>
      <c r="J168" s="59">
        <f t="shared" si="57"/>
        <v>10315348.33</v>
      </c>
      <c r="K168" s="59">
        <f t="shared" si="57"/>
        <v>9435977.484</v>
      </c>
      <c r="L168" s="59">
        <f t="shared" si="57"/>
        <v>8765593.218</v>
      </c>
      <c r="M168" s="59">
        <f t="shared" si="57"/>
        <v>8708785.072</v>
      </c>
      <c r="N168" s="59">
        <f t="shared" si="57"/>
        <v>8944875.876</v>
      </c>
      <c r="O168" s="59">
        <f t="shared" si="57"/>
        <v>11032478.96</v>
      </c>
      <c r="P168" s="76">
        <f t="shared" si="56"/>
        <v>112829114.1</v>
      </c>
    </row>
    <row r="169">
      <c r="C169" s="2" t="s">
        <v>48</v>
      </c>
      <c r="D169" s="59">
        <f t="shared" ref="D169:O169" si="58">D50*$H$90</f>
        <v>37150490.36</v>
      </c>
      <c r="E169" s="59">
        <f t="shared" si="58"/>
        <v>25508416.78</v>
      </c>
      <c r="F169" s="59">
        <f t="shared" si="58"/>
        <v>30137602.36</v>
      </c>
      <c r="G169" s="59">
        <f t="shared" si="58"/>
        <v>33527289.19</v>
      </c>
      <c r="H169" s="59">
        <f t="shared" si="58"/>
        <v>30010155.57</v>
      </c>
      <c r="I169" s="59">
        <f t="shared" si="58"/>
        <v>35158740.67</v>
      </c>
      <c r="J169" s="59">
        <f t="shared" si="58"/>
        <v>35510586.62</v>
      </c>
      <c r="K169" s="59">
        <f t="shared" si="58"/>
        <v>32483352.49</v>
      </c>
      <c r="L169" s="59">
        <f t="shared" si="58"/>
        <v>30175554.65</v>
      </c>
      <c r="M169" s="59">
        <f t="shared" si="58"/>
        <v>29979992.61</v>
      </c>
      <c r="N169" s="59">
        <f t="shared" si="58"/>
        <v>30792735.2</v>
      </c>
      <c r="O169" s="59">
        <f t="shared" si="58"/>
        <v>37979308.81</v>
      </c>
      <c r="P169" s="76">
        <f t="shared" si="56"/>
        <v>388414225.3</v>
      </c>
    </row>
    <row r="170">
      <c r="C170" s="2" t="s">
        <v>57</v>
      </c>
      <c r="D170" s="59">
        <f t="shared" ref="D170:O170" si="59">D50*$H$98</f>
        <v>6475030.999</v>
      </c>
      <c r="E170" s="59">
        <f t="shared" si="59"/>
        <v>4445911.422</v>
      </c>
      <c r="F170" s="59">
        <f t="shared" si="59"/>
        <v>5252741.152</v>
      </c>
      <c r="G170" s="59">
        <f t="shared" si="59"/>
        <v>5843536.242</v>
      </c>
      <c r="H170" s="59">
        <f t="shared" si="59"/>
        <v>5230528.204</v>
      </c>
      <c r="I170" s="59">
        <f t="shared" si="59"/>
        <v>6127885.084</v>
      </c>
      <c r="J170" s="59">
        <f t="shared" si="59"/>
        <v>6189208.997</v>
      </c>
      <c r="K170" s="59">
        <f t="shared" si="59"/>
        <v>5661586.49</v>
      </c>
      <c r="L170" s="59">
        <f t="shared" si="59"/>
        <v>5259355.931</v>
      </c>
      <c r="M170" s="59">
        <f t="shared" si="59"/>
        <v>5225271.043</v>
      </c>
      <c r="N170" s="59">
        <f t="shared" si="59"/>
        <v>5366925.525</v>
      </c>
      <c r="O170" s="59">
        <f t="shared" si="59"/>
        <v>6619487.375</v>
      </c>
      <c r="P170" s="76">
        <f t="shared" si="56"/>
        <v>67697468.46</v>
      </c>
    </row>
    <row r="171">
      <c r="C171" s="2" t="s">
        <v>62</v>
      </c>
      <c r="D171" s="78">
        <f t="shared" ref="D171:O171" si="60">D50*$H$102</f>
        <v>17843426.78</v>
      </c>
      <c r="E171" s="78">
        <f t="shared" si="60"/>
        <v>12251724.35</v>
      </c>
      <c r="F171" s="78">
        <f t="shared" si="60"/>
        <v>14475127.94</v>
      </c>
      <c r="G171" s="78">
        <f t="shared" si="60"/>
        <v>16103198.75</v>
      </c>
      <c r="H171" s="78">
        <f t="shared" si="60"/>
        <v>14413915.09</v>
      </c>
      <c r="I171" s="78">
        <f t="shared" si="60"/>
        <v>16886786.93</v>
      </c>
      <c r="J171" s="78">
        <f t="shared" si="60"/>
        <v>17055778.97</v>
      </c>
      <c r="K171" s="78">
        <f t="shared" si="60"/>
        <v>15601794.65</v>
      </c>
      <c r="L171" s="78">
        <f t="shared" si="60"/>
        <v>14493356.48</v>
      </c>
      <c r="M171" s="78">
        <f t="shared" si="60"/>
        <v>14399427.79</v>
      </c>
      <c r="N171" s="78">
        <f t="shared" si="60"/>
        <v>14789789.06</v>
      </c>
      <c r="O171" s="78">
        <f t="shared" si="60"/>
        <v>18241509.32</v>
      </c>
      <c r="P171" s="76">
        <f t="shared" si="56"/>
        <v>186555836.1</v>
      </c>
      <c r="Q171" s="79">
        <f>SUM(P166:P171)</f>
        <v>1567522405</v>
      </c>
    </row>
  </sheetData>
  <mergeCells count="127">
    <mergeCell ref="D3:O4"/>
    <mergeCell ref="D9:O10"/>
    <mergeCell ref="D16:O17"/>
    <mergeCell ref="D23:O24"/>
    <mergeCell ref="D30:O31"/>
    <mergeCell ref="D42:O43"/>
    <mergeCell ref="D44:O44"/>
    <mergeCell ref="C60:D61"/>
    <mergeCell ref="E60:E61"/>
    <mergeCell ref="F60:F61"/>
    <mergeCell ref="G60:G61"/>
    <mergeCell ref="C62:D63"/>
    <mergeCell ref="E62:E63"/>
    <mergeCell ref="F62:F63"/>
    <mergeCell ref="G62:G63"/>
    <mergeCell ref="C64:D65"/>
    <mergeCell ref="E64:E65"/>
    <mergeCell ref="F64:F65"/>
    <mergeCell ref="G64:G65"/>
    <mergeCell ref="F68:F69"/>
    <mergeCell ref="G68:G69"/>
    <mergeCell ref="F70:F71"/>
    <mergeCell ref="G70:G71"/>
    <mergeCell ref="F72:F73"/>
    <mergeCell ref="G72:G73"/>
    <mergeCell ref="F74:F75"/>
    <mergeCell ref="G74:G75"/>
    <mergeCell ref="G76:G77"/>
    <mergeCell ref="F86:F87"/>
    <mergeCell ref="F88:F89"/>
    <mergeCell ref="H82:H89"/>
    <mergeCell ref="H90:H97"/>
    <mergeCell ref="I90:I97"/>
    <mergeCell ref="H98:H101"/>
    <mergeCell ref="I98:I101"/>
    <mergeCell ref="H102:H119"/>
    <mergeCell ref="I102:I119"/>
    <mergeCell ref="F82:F83"/>
    <mergeCell ref="G82:G83"/>
    <mergeCell ref="I82:I89"/>
    <mergeCell ref="F84:F85"/>
    <mergeCell ref="G84:G85"/>
    <mergeCell ref="G86:G87"/>
    <mergeCell ref="G88:G89"/>
    <mergeCell ref="H58:H71"/>
    <mergeCell ref="I58:I71"/>
    <mergeCell ref="H72:H81"/>
    <mergeCell ref="I72:I81"/>
    <mergeCell ref="C66:D67"/>
    <mergeCell ref="E66:E67"/>
    <mergeCell ref="F66:F67"/>
    <mergeCell ref="G66:G67"/>
    <mergeCell ref="C68:D69"/>
    <mergeCell ref="E68:E69"/>
    <mergeCell ref="D53:O54"/>
    <mergeCell ref="C57:D57"/>
    <mergeCell ref="B58:B71"/>
    <mergeCell ref="C58:D59"/>
    <mergeCell ref="E58:E59"/>
    <mergeCell ref="F58:F59"/>
    <mergeCell ref="G58:G59"/>
    <mergeCell ref="F76:F77"/>
    <mergeCell ref="F78:F79"/>
    <mergeCell ref="F80:F81"/>
    <mergeCell ref="G78:G79"/>
    <mergeCell ref="G80:G81"/>
    <mergeCell ref="C80:D81"/>
    <mergeCell ref="E80:E81"/>
    <mergeCell ref="E82:E83"/>
    <mergeCell ref="E84:E85"/>
    <mergeCell ref="E86:E87"/>
    <mergeCell ref="E88:E89"/>
    <mergeCell ref="B82:B89"/>
    <mergeCell ref="C82:D83"/>
    <mergeCell ref="C84:D85"/>
    <mergeCell ref="C86:D87"/>
    <mergeCell ref="C88:D89"/>
    <mergeCell ref="C90:D90"/>
    <mergeCell ref="C97:D97"/>
    <mergeCell ref="C110:D110"/>
    <mergeCell ref="C111:D111"/>
    <mergeCell ref="D122:O122"/>
    <mergeCell ref="D124:O124"/>
    <mergeCell ref="D134:O134"/>
    <mergeCell ref="D144:O144"/>
    <mergeCell ref="D154:O154"/>
    <mergeCell ref="D164:O164"/>
    <mergeCell ref="C103:D103"/>
    <mergeCell ref="C104:D104"/>
    <mergeCell ref="C105:D105"/>
    <mergeCell ref="C106:D106"/>
    <mergeCell ref="C107:D107"/>
    <mergeCell ref="C108:D108"/>
    <mergeCell ref="C109:D109"/>
    <mergeCell ref="C76:D77"/>
    <mergeCell ref="E76:E77"/>
    <mergeCell ref="C78:D79"/>
    <mergeCell ref="E78:E79"/>
    <mergeCell ref="C70:D71"/>
    <mergeCell ref="E70:E71"/>
    <mergeCell ref="B72:B81"/>
    <mergeCell ref="C72:D73"/>
    <mergeCell ref="E72:E73"/>
    <mergeCell ref="C74:D75"/>
    <mergeCell ref="E74:E75"/>
    <mergeCell ref="C91:D91"/>
    <mergeCell ref="C92:D92"/>
    <mergeCell ref="C93:D93"/>
    <mergeCell ref="C94:D94"/>
    <mergeCell ref="B90:B97"/>
    <mergeCell ref="B98:B101"/>
    <mergeCell ref="B102:B119"/>
    <mergeCell ref="C112:D112"/>
    <mergeCell ref="C113:D113"/>
    <mergeCell ref="C114:D114"/>
    <mergeCell ref="C115:D115"/>
    <mergeCell ref="C116:D116"/>
    <mergeCell ref="C117:D117"/>
    <mergeCell ref="C118:D118"/>
    <mergeCell ref="C119:D119"/>
    <mergeCell ref="C95:D95"/>
    <mergeCell ref="C96:D96"/>
    <mergeCell ref="C98:D98"/>
    <mergeCell ref="C99:D99"/>
    <mergeCell ref="C100:D100"/>
    <mergeCell ref="C101:D101"/>
    <mergeCell ref="C102:D102"/>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2">
      <c r="A2" s="17" t="s">
        <v>364</v>
      </c>
      <c r="B2" s="18"/>
      <c r="C2" s="18"/>
      <c r="D2" s="18"/>
      <c r="E2" s="18"/>
      <c r="F2" s="18"/>
      <c r="G2" s="18"/>
      <c r="H2" s="18"/>
      <c r="I2" s="19"/>
    </row>
    <row r="4">
      <c r="A4" s="101"/>
      <c r="B4" s="360"/>
      <c r="C4" s="360"/>
      <c r="D4" s="364" t="s">
        <v>285</v>
      </c>
      <c r="E4" s="364" t="s">
        <v>285</v>
      </c>
      <c r="F4" s="364" t="s">
        <v>285</v>
      </c>
      <c r="G4" s="364" t="s">
        <v>285</v>
      </c>
      <c r="H4" s="364" t="s">
        <v>285</v>
      </c>
      <c r="I4" s="364" t="s">
        <v>285</v>
      </c>
    </row>
    <row r="5">
      <c r="A5" s="360"/>
      <c r="B5" s="365"/>
      <c r="C5" s="366"/>
      <c r="D5" s="367">
        <v>0.0</v>
      </c>
      <c r="E5" s="367">
        <v>1.0</v>
      </c>
      <c r="F5" s="367">
        <v>2.0</v>
      </c>
      <c r="G5" s="367">
        <v>3.0</v>
      </c>
      <c r="H5" s="367">
        <v>4.0</v>
      </c>
      <c r="I5" s="367">
        <v>5.0</v>
      </c>
    </row>
    <row r="6">
      <c r="A6" s="82" t="s">
        <v>365</v>
      </c>
      <c r="B6" s="252"/>
      <c r="C6" s="252"/>
      <c r="D6" s="83">
        <f>'COSTOS Y GASTOS'!D100</f>
        <v>177416438.6</v>
      </c>
      <c r="E6" s="368">
        <f>'FLUJO DE CAJA'!F40</f>
        <v>170518082.5</v>
      </c>
      <c r="F6" s="368">
        <f>'FLUJO DE CAJA'!G40</f>
        <v>178587149.3</v>
      </c>
      <c r="G6" s="368">
        <f>'FLUJO DE CAJA'!H40</f>
        <v>198117098.3</v>
      </c>
      <c r="H6" s="368">
        <f>'FLUJO DE CAJA'!I40</f>
        <v>226973015.1</v>
      </c>
      <c r="I6" s="368">
        <f>'FLUJO DE CAJA'!J40</f>
        <v>246693486.1</v>
      </c>
    </row>
    <row r="7">
      <c r="A7" s="343" t="s">
        <v>366</v>
      </c>
      <c r="B7" s="18"/>
      <c r="C7" s="18"/>
      <c r="D7" s="253">
        <f t="shared" ref="D7:I7" si="1">D6</f>
        <v>177416438.6</v>
      </c>
      <c r="E7" s="253">
        <f t="shared" si="1"/>
        <v>170518082.5</v>
      </c>
      <c r="F7" s="253">
        <f t="shared" si="1"/>
        <v>178587149.3</v>
      </c>
      <c r="G7" s="253">
        <f t="shared" si="1"/>
        <v>198117098.3</v>
      </c>
      <c r="H7" s="253">
        <f t="shared" si="1"/>
        <v>226973015.1</v>
      </c>
      <c r="I7" s="253">
        <f t="shared" si="1"/>
        <v>246693486.1</v>
      </c>
    </row>
    <row r="8">
      <c r="A8" s="369" t="s">
        <v>367</v>
      </c>
      <c r="B8" s="365"/>
      <c r="C8" s="365"/>
      <c r="D8" s="98">
        <f>INVERSIONES!D70</f>
        <v>0</v>
      </c>
      <c r="E8" s="370">
        <f>INVERSIONES!D4</f>
        <v>0</v>
      </c>
      <c r="F8" s="370">
        <f t="shared" ref="F8:I8" si="2">E8</f>
        <v>0</v>
      </c>
      <c r="G8" s="370">
        <f t="shared" si="2"/>
        <v>0</v>
      </c>
      <c r="H8" s="370">
        <f t="shared" si="2"/>
        <v>0</v>
      </c>
      <c r="I8" s="370">
        <f t="shared" si="2"/>
        <v>0</v>
      </c>
    </row>
    <row r="9">
      <c r="A9" s="371" t="s">
        <v>143</v>
      </c>
      <c r="B9" s="372"/>
      <c r="C9" s="372"/>
      <c r="D9" s="98">
        <f>INVERSIONES!D71</f>
        <v>0</v>
      </c>
      <c r="E9" s="370">
        <f>INVERSIONES!D5</f>
        <v>0</v>
      </c>
      <c r="F9" s="98">
        <f t="shared" ref="F9:I9" si="3">E9</f>
        <v>0</v>
      </c>
      <c r="G9" s="98">
        <f t="shared" si="3"/>
        <v>0</v>
      </c>
      <c r="H9" s="98">
        <f t="shared" si="3"/>
        <v>0</v>
      </c>
      <c r="I9" s="98">
        <f t="shared" si="3"/>
        <v>0</v>
      </c>
    </row>
    <row r="10">
      <c r="A10" s="371" t="s">
        <v>368</v>
      </c>
      <c r="B10" s="372"/>
      <c r="C10" s="372"/>
      <c r="D10" s="83">
        <f>INVERSIONES!D72</f>
        <v>44905042</v>
      </c>
      <c r="E10" s="368">
        <f t="shared" ref="E10:I10" si="4">D10</f>
        <v>44905042</v>
      </c>
      <c r="F10" s="368">
        <f t="shared" si="4"/>
        <v>44905042</v>
      </c>
      <c r="G10" s="368">
        <f t="shared" si="4"/>
        <v>44905042</v>
      </c>
      <c r="H10" s="368">
        <f t="shared" si="4"/>
        <v>44905042</v>
      </c>
      <c r="I10" s="368">
        <f t="shared" si="4"/>
        <v>44905042</v>
      </c>
    </row>
    <row r="11">
      <c r="A11" s="371" t="s">
        <v>369</v>
      </c>
      <c r="B11" s="372"/>
      <c r="C11" s="372"/>
      <c r="D11" s="83">
        <f>INVERSIONES!D73</f>
        <v>6780000</v>
      </c>
      <c r="E11" s="368">
        <f t="shared" ref="E11:I11" si="5">D11</f>
        <v>6780000</v>
      </c>
      <c r="F11" s="368">
        <f t="shared" si="5"/>
        <v>6780000</v>
      </c>
      <c r="G11" s="368">
        <f t="shared" si="5"/>
        <v>6780000</v>
      </c>
      <c r="H11" s="368">
        <f t="shared" si="5"/>
        <v>6780000</v>
      </c>
      <c r="I11" s="368">
        <f t="shared" si="5"/>
        <v>6780000</v>
      </c>
    </row>
    <row r="12">
      <c r="A12" s="371" t="s">
        <v>370</v>
      </c>
      <c r="B12" s="372"/>
      <c r="C12" s="372"/>
      <c r="D12" s="83">
        <f>INVERSIONES!D74</f>
        <v>3993258</v>
      </c>
      <c r="E12" s="368">
        <f t="shared" ref="E12:I12" si="6">D12</f>
        <v>3993258</v>
      </c>
      <c r="F12" s="368">
        <f t="shared" si="6"/>
        <v>3993258</v>
      </c>
      <c r="G12" s="368">
        <f t="shared" si="6"/>
        <v>3993258</v>
      </c>
      <c r="H12" s="368">
        <f t="shared" si="6"/>
        <v>3993258</v>
      </c>
      <c r="I12" s="368">
        <f t="shared" si="6"/>
        <v>3993258</v>
      </c>
    </row>
    <row r="13">
      <c r="A13" s="371" t="s">
        <v>120</v>
      </c>
      <c r="B13" s="372"/>
      <c r="C13" s="372"/>
      <c r="D13" s="83">
        <f>INVERSIONES!D75</f>
        <v>2117257</v>
      </c>
      <c r="E13" s="368">
        <f t="shared" ref="E13:I13" si="7">D13</f>
        <v>2117257</v>
      </c>
      <c r="F13" s="368">
        <f t="shared" si="7"/>
        <v>2117257</v>
      </c>
      <c r="G13" s="368">
        <f t="shared" si="7"/>
        <v>2117257</v>
      </c>
      <c r="H13" s="368">
        <f t="shared" si="7"/>
        <v>2117257</v>
      </c>
      <c r="I13" s="368">
        <f t="shared" si="7"/>
        <v>2117257</v>
      </c>
    </row>
    <row r="14">
      <c r="A14" s="371" t="s">
        <v>371</v>
      </c>
      <c r="B14" s="372"/>
      <c r="C14" s="372"/>
      <c r="D14" s="373">
        <f>'FLUJO DE CAJA'!E10+'FLUJO DE CAJA'!E16</f>
        <v>0</v>
      </c>
      <c r="E14" s="83">
        <f>'FLUJO DE CAJA'!F10+'FLUJO DE CAJA'!F16</f>
        <v>1363900</v>
      </c>
      <c r="F14" s="83">
        <f>'FLUJO DE CAJA'!G10+'FLUJO DE CAJA'!G16+E14</f>
        <v>2727800</v>
      </c>
      <c r="G14" s="83">
        <f>'FLUJO DE CAJA'!H10+'FLUJO DE CAJA'!H16+F14</f>
        <v>4091700</v>
      </c>
      <c r="H14" s="83">
        <f>'FLUJO DE CAJA'!I10+'FLUJO DE CAJA'!I16+G14</f>
        <v>5455600</v>
      </c>
      <c r="I14" s="83">
        <f>'FLUJO DE CAJA'!J10+'FLUJO DE CAJA'!J16+H14</f>
        <v>6819500</v>
      </c>
    </row>
    <row r="15">
      <c r="A15" s="374" t="s">
        <v>372</v>
      </c>
      <c r="B15" s="295"/>
      <c r="C15" s="295"/>
      <c r="D15" s="253">
        <f t="shared" ref="D15:I15" si="8">SUM(D8:D14)</f>
        <v>57795557</v>
      </c>
      <c r="E15" s="253">
        <f t="shared" si="8"/>
        <v>59159457</v>
      </c>
      <c r="F15" s="253">
        <f t="shared" si="8"/>
        <v>60523357</v>
      </c>
      <c r="G15" s="253">
        <f t="shared" si="8"/>
        <v>61887257</v>
      </c>
      <c r="H15" s="253">
        <f t="shared" si="8"/>
        <v>63251157</v>
      </c>
      <c r="I15" s="253">
        <f t="shared" si="8"/>
        <v>64615057</v>
      </c>
    </row>
    <row r="16">
      <c r="A16" s="82" t="s">
        <v>373</v>
      </c>
      <c r="B16" s="293"/>
      <c r="C16" s="293"/>
      <c r="D16" s="83">
        <f>INVERSIONES!D84</f>
        <v>6819500</v>
      </c>
      <c r="E16" s="368">
        <f t="shared" ref="E16:I16" si="9">D16</f>
        <v>6819500</v>
      </c>
      <c r="F16" s="368">
        <f t="shared" si="9"/>
        <v>6819500</v>
      </c>
      <c r="G16" s="368">
        <f t="shared" si="9"/>
        <v>6819500</v>
      </c>
      <c r="H16" s="368">
        <f t="shared" si="9"/>
        <v>6819500</v>
      </c>
      <c r="I16" s="368">
        <f t="shared" si="9"/>
        <v>6819500</v>
      </c>
    </row>
    <row r="17">
      <c r="A17" s="82" t="s">
        <v>374</v>
      </c>
      <c r="B17" s="252"/>
      <c r="C17" s="252"/>
      <c r="D17" s="276"/>
      <c r="E17" s="368">
        <f>'FLUJO DE CAJA'!F15</f>
        <v>-1363900</v>
      </c>
      <c r="F17" s="368">
        <f>'FLUJO DE CAJA'!G15+E17</f>
        <v>-2727800</v>
      </c>
      <c r="G17" s="368">
        <f>'FLUJO DE CAJA'!H15+F17</f>
        <v>-4091700</v>
      </c>
      <c r="H17" s="368">
        <f>'FLUJO DE CAJA'!I15+G17</f>
        <v>-5455600</v>
      </c>
      <c r="I17" s="368">
        <f>'FLUJO DE CAJA'!J15+H17</f>
        <v>-6819500</v>
      </c>
    </row>
    <row r="18">
      <c r="A18" s="374" t="s">
        <v>375</v>
      </c>
      <c r="B18" s="295"/>
      <c r="C18" s="295"/>
      <c r="D18" s="253">
        <f t="shared" ref="D18:I18" si="10">SUM(D16:D17)</f>
        <v>6819500</v>
      </c>
      <c r="E18" s="253">
        <f t="shared" si="10"/>
        <v>5455600</v>
      </c>
      <c r="F18" s="253">
        <f t="shared" si="10"/>
        <v>4091700</v>
      </c>
      <c r="G18" s="253">
        <f t="shared" si="10"/>
        <v>2727800</v>
      </c>
      <c r="H18" s="253">
        <f t="shared" si="10"/>
        <v>1363900</v>
      </c>
      <c r="I18" s="253">
        <f t="shared" si="10"/>
        <v>0</v>
      </c>
    </row>
    <row r="19">
      <c r="A19" s="343" t="s">
        <v>376</v>
      </c>
      <c r="B19" s="291"/>
      <c r="C19" s="291"/>
      <c r="D19" s="375">
        <f t="shared" ref="D19:I19" si="11">D18+D15+D7</f>
        <v>242031495.6</v>
      </c>
      <c r="E19" s="375">
        <f t="shared" si="11"/>
        <v>235133139.5</v>
      </c>
      <c r="F19" s="375">
        <f t="shared" si="11"/>
        <v>243202206.3</v>
      </c>
      <c r="G19" s="375">
        <f t="shared" si="11"/>
        <v>262732155.3</v>
      </c>
      <c r="H19" s="375">
        <f t="shared" si="11"/>
        <v>291588072.1</v>
      </c>
      <c r="I19" s="375">
        <f t="shared" si="11"/>
        <v>311308543.1</v>
      </c>
    </row>
    <row r="20">
      <c r="A20" s="82" t="s">
        <v>377</v>
      </c>
      <c r="B20" s="252"/>
      <c r="C20" s="252"/>
      <c r="D20" s="83">
        <f>PRESTAMO!K15</f>
        <v>10021654.15</v>
      </c>
      <c r="E20" s="368">
        <f>PRESTAMO!K16</f>
        <v>12384793.49</v>
      </c>
      <c r="F20" s="83">
        <f>PRESTAMO!K17</f>
        <v>15305168.94</v>
      </c>
      <c r="G20" s="83">
        <f>PRESTAMO!K18</f>
        <v>18914178.63</v>
      </c>
      <c r="H20" s="83">
        <f>PRESTAMO!K19</f>
        <v>23374204.79</v>
      </c>
      <c r="I20" s="351">
        <v>0.0</v>
      </c>
    </row>
    <row r="21">
      <c r="A21" s="82" t="s">
        <v>378</v>
      </c>
      <c r="B21" s="252"/>
      <c r="C21" s="252"/>
      <c r="D21" s="376"/>
      <c r="E21" s="368">
        <f>'ESTADO DE RESULTADOS'!C23</f>
        <v>1093154.343</v>
      </c>
      <c r="F21" s="368">
        <f>'ESTADO DE RESULTADOS'!D23</f>
        <v>7541455.122</v>
      </c>
      <c r="G21" s="368">
        <f>'ESTADO DE RESULTADOS'!E23</f>
        <v>14831800.57</v>
      </c>
      <c r="H21" s="368">
        <f>'ESTADO DE RESULTADOS'!F23</f>
        <v>21910663.59</v>
      </c>
      <c r="I21" s="368">
        <f>'ESTADO DE RESULTADOS'!G23</f>
        <v>22751868.8</v>
      </c>
    </row>
    <row r="22">
      <c r="A22" s="343" t="s">
        <v>379</v>
      </c>
      <c r="B22" s="291"/>
      <c r="C22" s="291"/>
      <c r="D22" s="375">
        <f t="shared" ref="D22:I22" si="12">SUM(D20:D21)</f>
        <v>10021654.15</v>
      </c>
      <c r="E22" s="375">
        <f t="shared" si="12"/>
        <v>13477947.83</v>
      </c>
      <c r="F22" s="375">
        <f t="shared" si="12"/>
        <v>22846624.07</v>
      </c>
      <c r="G22" s="375">
        <f t="shared" si="12"/>
        <v>33745979.2</v>
      </c>
      <c r="H22" s="375">
        <f t="shared" si="12"/>
        <v>45284868.38</v>
      </c>
      <c r="I22" s="375">
        <f t="shared" si="12"/>
        <v>22751868.8</v>
      </c>
    </row>
    <row r="23">
      <c r="A23" s="272" t="s">
        <v>380</v>
      </c>
      <c r="B23" s="18"/>
      <c r="C23" s="19"/>
      <c r="D23" s="368">
        <f>PRESTAMO!L15</f>
        <v>69978345.85</v>
      </c>
      <c r="E23" s="368">
        <f>PRESTAMO!L16</f>
        <v>57593552.36</v>
      </c>
      <c r="F23" s="83">
        <f>PRESTAMO!L17</f>
        <v>42288383.42</v>
      </c>
      <c r="G23" s="83">
        <f>PRESTAMO!L18</f>
        <v>23374204.79</v>
      </c>
      <c r="H23" s="83">
        <f>PRESTAMO!L19</f>
        <v>0.0000002779997885</v>
      </c>
      <c r="I23" s="351">
        <v>0.0</v>
      </c>
    </row>
    <row r="24">
      <c r="A24" s="343" t="s">
        <v>381</v>
      </c>
      <c r="B24" s="291"/>
      <c r="C24" s="291"/>
      <c r="D24" s="253">
        <f t="shared" ref="D24:I24" si="13">SUM(D22:D23)</f>
        <v>80000000</v>
      </c>
      <c r="E24" s="253">
        <f t="shared" si="13"/>
        <v>71071500.2</v>
      </c>
      <c r="F24" s="253">
        <f t="shared" si="13"/>
        <v>65135007.48</v>
      </c>
      <c r="G24" s="253">
        <f t="shared" si="13"/>
        <v>57120183.99</v>
      </c>
      <c r="H24" s="253">
        <f t="shared" si="13"/>
        <v>45284868.38</v>
      </c>
      <c r="I24" s="253">
        <f t="shared" si="13"/>
        <v>22751868.8</v>
      </c>
    </row>
    <row r="25">
      <c r="A25" s="287" t="s">
        <v>382</v>
      </c>
      <c r="B25" s="288"/>
      <c r="C25" s="288"/>
      <c r="D25" s="83">
        <f>'COSTOS Y GASTOS'!C105</f>
        <v>162031495.6</v>
      </c>
      <c r="E25" s="368">
        <f t="shared" ref="E25:I25" si="14">D25</f>
        <v>162031495.6</v>
      </c>
      <c r="F25" s="368">
        <f t="shared" si="14"/>
        <v>162031495.6</v>
      </c>
      <c r="G25" s="368">
        <f t="shared" si="14"/>
        <v>162031495.6</v>
      </c>
      <c r="H25" s="368">
        <f t="shared" si="14"/>
        <v>162031495.6</v>
      </c>
      <c r="I25" s="368">
        <f t="shared" si="14"/>
        <v>162031495.6</v>
      </c>
    </row>
    <row r="26">
      <c r="A26" s="82" t="s">
        <v>383</v>
      </c>
      <c r="B26" s="252"/>
      <c r="C26" s="252"/>
      <c r="D26" s="276"/>
      <c r="E26" s="362"/>
      <c r="F26" s="83">
        <f t="shared" ref="F26:I26" si="15">E26+E27</f>
        <v>2030143.78</v>
      </c>
      <c r="G26" s="83">
        <f t="shared" si="15"/>
        <v>16035703.29</v>
      </c>
      <c r="H26" s="83">
        <f t="shared" si="15"/>
        <v>43580475.78</v>
      </c>
      <c r="I26" s="83">
        <f t="shared" si="15"/>
        <v>84271708.16</v>
      </c>
    </row>
    <row r="27">
      <c r="A27" s="82" t="s">
        <v>384</v>
      </c>
      <c r="B27" s="252"/>
      <c r="C27" s="252"/>
      <c r="D27" s="276"/>
      <c r="E27" s="368">
        <f>'ESTADO DE RESULTADOS'!C24</f>
        <v>2030143.78</v>
      </c>
      <c r="F27" s="368">
        <f>'ESTADO DE RESULTADOS'!D24</f>
        <v>14005559.51</v>
      </c>
      <c r="G27" s="368">
        <f>'ESTADO DE RESULTADOS'!E24</f>
        <v>27544772.48</v>
      </c>
      <c r="H27" s="368">
        <f>'ESTADO DE RESULTADOS'!F24</f>
        <v>40691232.38</v>
      </c>
      <c r="I27" s="368">
        <f>'ESTADO DE RESULTADOS'!G24</f>
        <v>42253470.62</v>
      </c>
    </row>
    <row r="28">
      <c r="A28" s="343" t="s">
        <v>385</v>
      </c>
      <c r="B28" s="18"/>
      <c r="C28" s="19"/>
      <c r="D28" s="377">
        <f t="shared" ref="D28:I28" si="16">SUM(D25:D27)</f>
        <v>162031495.6</v>
      </c>
      <c r="E28" s="377">
        <f t="shared" si="16"/>
        <v>164061639.3</v>
      </c>
      <c r="F28" s="377">
        <f t="shared" si="16"/>
        <v>178067198.9</v>
      </c>
      <c r="G28" s="377">
        <f t="shared" si="16"/>
        <v>205611971.3</v>
      </c>
      <c r="H28" s="377">
        <f t="shared" si="16"/>
        <v>246303203.7</v>
      </c>
      <c r="I28" s="377">
        <f t="shared" si="16"/>
        <v>288556674.3</v>
      </c>
    </row>
    <row r="29">
      <c r="A29" s="343" t="s">
        <v>386</v>
      </c>
      <c r="B29" s="18"/>
      <c r="C29" s="18"/>
      <c r="D29" s="253">
        <f t="shared" ref="D29:I29" si="17">D28+D24</f>
        <v>242031495.6</v>
      </c>
      <c r="E29" s="253">
        <f t="shared" si="17"/>
        <v>235133139.5</v>
      </c>
      <c r="F29" s="253">
        <f t="shared" si="17"/>
        <v>243202206.3</v>
      </c>
      <c r="G29" s="253">
        <f t="shared" si="17"/>
        <v>262732155.3</v>
      </c>
      <c r="H29" s="253">
        <f t="shared" si="17"/>
        <v>291588072.1</v>
      </c>
      <c r="I29" s="253">
        <f t="shared" si="17"/>
        <v>311308543.1</v>
      </c>
    </row>
    <row r="30">
      <c r="A30" s="343" t="s">
        <v>387</v>
      </c>
      <c r="B30" s="18"/>
      <c r="C30" s="18"/>
      <c r="D30" s="253">
        <f t="shared" ref="D30:I30" si="18">D19-D29</f>
        <v>0</v>
      </c>
      <c r="E30" s="253">
        <f t="shared" si="18"/>
        <v>-0.00000005960464478</v>
      </c>
      <c r="F30" s="253">
        <f t="shared" si="18"/>
        <v>-0.0000001490116119</v>
      </c>
      <c r="G30" s="253">
        <f t="shared" si="18"/>
        <v>-0.0000001788139343</v>
      </c>
      <c r="H30" s="253">
        <f t="shared" si="18"/>
        <v>-0.0000002980232239</v>
      </c>
      <c r="I30" s="253">
        <f t="shared" si="18"/>
        <v>-0.0000001192092896</v>
      </c>
    </row>
  </sheetData>
  <mergeCells count="8">
    <mergeCell ref="A2:I2"/>
    <mergeCell ref="A7:C7"/>
    <mergeCell ref="A15:C15"/>
    <mergeCell ref="A18:C18"/>
    <mergeCell ref="A23:C23"/>
    <mergeCell ref="A28:C28"/>
    <mergeCell ref="A29:C29"/>
    <mergeCell ref="A30:C30"/>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0.38"/>
    <col customWidth="1" min="2" max="2" width="22.88"/>
    <col customWidth="1" min="4" max="4" width="15.75"/>
    <col customWidth="1" min="5" max="5" width="16.25"/>
  </cols>
  <sheetData>
    <row r="2">
      <c r="B2" s="130"/>
      <c r="C2" s="130"/>
      <c r="D2" s="130"/>
      <c r="E2" s="130"/>
      <c r="F2" s="130"/>
      <c r="G2" s="130"/>
      <c r="H2" s="130"/>
    </row>
    <row r="3">
      <c r="B3" s="378" t="s">
        <v>388</v>
      </c>
      <c r="C3" s="18"/>
      <c r="D3" s="19"/>
      <c r="E3" s="379"/>
      <c r="F3" s="130"/>
      <c r="G3" s="130"/>
      <c r="H3" s="130"/>
    </row>
    <row r="4">
      <c r="B4" s="380" t="s">
        <v>285</v>
      </c>
      <c r="C4" s="169"/>
      <c r="D4" s="381" t="s">
        <v>389</v>
      </c>
      <c r="E4" s="379"/>
      <c r="F4" s="130"/>
      <c r="G4" s="130"/>
      <c r="H4" s="130"/>
    </row>
    <row r="5">
      <c r="B5" s="39"/>
      <c r="C5" s="260"/>
      <c r="D5" s="38"/>
      <c r="E5" s="379"/>
      <c r="F5" s="130"/>
      <c r="G5" s="130"/>
      <c r="H5" s="130"/>
    </row>
    <row r="6">
      <c r="B6" s="177" t="s">
        <v>285</v>
      </c>
      <c r="C6" s="202">
        <v>0.0</v>
      </c>
      <c r="D6" s="281">
        <f>'FLUJO DE CAJA'!E40</f>
        <v>-242031495.6</v>
      </c>
      <c r="E6" s="379"/>
      <c r="F6" s="130"/>
      <c r="G6" s="130"/>
      <c r="H6" s="130"/>
    </row>
    <row r="7">
      <c r="B7" s="177" t="s">
        <v>285</v>
      </c>
      <c r="C7" s="202">
        <v>1.0</v>
      </c>
      <c r="D7" s="281">
        <f>'FLUJO DE CAJA'!F40</f>
        <v>170518082.5</v>
      </c>
      <c r="E7" s="379"/>
      <c r="F7" s="130"/>
      <c r="G7" s="130"/>
      <c r="H7" s="130"/>
    </row>
    <row r="8">
      <c r="B8" s="177" t="s">
        <v>285</v>
      </c>
      <c r="C8" s="202">
        <v>2.0</v>
      </c>
      <c r="D8" s="281">
        <f>'FLUJO DE CAJA'!G40</f>
        <v>178587149.3</v>
      </c>
      <c r="E8" s="379"/>
      <c r="F8" s="130"/>
      <c r="G8" s="130"/>
      <c r="H8" s="130"/>
    </row>
    <row r="9">
      <c r="B9" s="177" t="s">
        <v>285</v>
      </c>
      <c r="C9" s="202">
        <v>3.0</v>
      </c>
      <c r="D9" s="281">
        <f>'FLUJO DE CAJA'!H40</f>
        <v>198117098.3</v>
      </c>
      <c r="E9" s="379"/>
      <c r="F9" s="132" t="s">
        <v>390</v>
      </c>
      <c r="G9" s="382">
        <v>0.0975</v>
      </c>
      <c r="H9" s="130"/>
    </row>
    <row r="10">
      <c r="B10" s="177" t="s">
        <v>285</v>
      </c>
      <c r="C10" s="202">
        <v>4.0</v>
      </c>
      <c r="D10" s="281">
        <f>'FLUJO DE CAJA'!I40</f>
        <v>226973015.1</v>
      </c>
      <c r="E10" s="379"/>
      <c r="F10" s="130"/>
      <c r="G10" s="130"/>
      <c r="H10" s="130"/>
    </row>
    <row r="11">
      <c r="B11" s="177" t="s">
        <v>285</v>
      </c>
      <c r="C11" s="202">
        <v>5.0</v>
      </c>
      <c r="D11" s="281">
        <f>'FLUJO DE CAJA'!J40</f>
        <v>246693486.1</v>
      </c>
      <c r="E11" s="379"/>
      <c r="F11" s="130"/>
      <c r="G11" s="130"/>
      <c r="H11" s="130"/>
    </row>
    <row r="12">
      <c r="B12" s="378" t="s">
        <v>391</v>
      </c>
      <c r="C12" s="18"/>
      <c r="D12" s="383">
        <f t="array" ref="D12">NPV(G9,D7:D11)+D6</f>
        <v>522844543.6</v>
      </c>
      <c r="E12" s="379"/>
      <c r="F12" s="130"/>
      <c r="G12" s="130"/>
      <c r="H12" s="130"/>
    </row>
    <row r="13">
      <c r="B13" s="130"/>
      <c r="C13" s="130"/>
      <c r="D13" s="130"/>
      <c r="E13" s="130"/>
      <c r="F13" s="130"/>
      <c r="G13" s="130"/>
      <c r="H13" s="130"/>
    </row>
    <row r="14">
      <c r="B14" s="130"/>
      <c r="C14" s="130"/>
      <c r="D14" s="130"/>
      <c r="E14" s="130"/>
      <c r="F14" s="130"/>
      <c r="G14" s="130"/>
      <c r="H14" s="130"/>
    </row>
    <row r="15">
      <c r="B15" s="130"/>
      <c r="C15" s="130"/>
      <c r="D15" s="130"/>
      <c r="E15" s="130"/>
      <c r="F15" s="130"/>
      <c r="G15" s="130"/>
      <c r="H15" s="130"/>
    </row>
    <row r="16">
      <c r="B16" s="130"/>
      <c r="C16" s="384" t="s">
        <v>392</v>
      </c>
      <c r="D16" s="385">
        <f>IRR(D6:D11)</f>
        <v>0.7158339021</v>
      </c>
      <c r="E16" s="310" t="s">
        <v>393</v>
      </c>
      <c r="F16" s="130"/>
      <c r="G16" s="130"/>
      <c r="H16" s="130"/>
    </row>
    <row r="17">
      <c r="B17" s="130"/>
      <c r="C17" s="384" t="s">
        <v>394</v>
      </c>
      <c r="D17" s="386">
        <f t="array" ref="D17">NPV(G9,D7:D11)+D6</f>
        <v>522844543.6</v>
      </c>
      <c r="E17" s="130"/>
      <c r="F17" s="130"/>
      <c r="G17" s="130"/>
      <c r="H17" s="130"/>
    </row>
    <row r="18">
      <c r="B18" s="130"/>
      <c r="C18" s="130"/>
      <c r="D18" s="387"/>
      <c r="E18" s="130"/>
      <c r="F18" s="130"/>
      <c r="G18" s="130"/>
      <c r="H18" s="130"/>
    </row>
    <row r="19">
      <c r="B19" s="130"/>
      <c r="C19" s="130"/>
      <c r="D19" s="387"/>
      <c r="E19" s="130"/>
      <c r="F19" s="130"/>
      <c r="G19" s="130"/>
      <c r="H19" s="130"/>
    </row>
    <row r="20">
      <c r="B20" s="388" t="s">
        <v>395</v>
      </c>
      <c r="C20" s="18"/>
      <c r="D20" s="19"/>
      <c r="E20" s="130"/>
      <c r="F20" s="130"/>
      <c r="G20" s="130"/>
      <c r="H20" s="130"/>
    </row>
    <row r="21">
      <c r="B21" s="130"/>
      <c r="C21" s="130"/>
      <c r="D21" s="387"/>
      <c r="E21" s="130"/>
      <c r="F21" s="130"/>
      <c r="G21" s="130"/>
      <c r="H21" s="130"/>
    </row>
    <row r="22">
      <c r="B22" s="130"/>
      <c r="C22" s="130"/>
      <c r="D22" s="130"/>
      <c r="E22" s="130"/>
      <c r="F22" s="130"/>
      <c r="G22" s="130"/>
      <c r="H22" s="130"/>
    </row>
    <row r="23">
      <c r="B23" s="389" t="s">
        <v>396</v>
      </c>
      <c r="C23" s="390" t="s">
        <v>397</v>
      </c>
      <c r="D23" s="391" t="s">
        <v>398</v>
      </c>
      <c r="E23" s="390" t="s">
        <v>399</v>
      </c>
      <c r="F23" s="130"/>
      <c r="G23" s="130"/>
      <c r="H23" s="130"/>
    </row>
    <row r="24">
      <c r="B24" s="392" t="s">
        <v>400</v>
      </c>
      <c r="C24" s="140">
        <f>D6</f>
        <v>-242031495.6</v>
      </c>
      <c r="D24" s="393"/>
      <c r="E24" s="140">
        <f>D6</f>
        <v>-242031495.6</v>
      </c>
      <c r="F24" s="130"/>
      <c r="G24" s="130"/>
      <c r="H24" s="130"/>
    </row>
    <row r="25">
      <c r="B25" s="392" t="s">
        <v>296</v>
      </c>
      <c r="C25" s="393"/>
      <c r="D25" s="140">
        <f t="shared" ref="D25:D29" si="1">D7</f>
        <v>170518082.5</v>
      </c>
      <c r="E25" s="140">
        <f>E24+D25</f>
        <v>-71513413.02</v>
      </c>
      <c r="F25" s="130"/>
      <c r="G25" s="108" t="s">
        <v>401</v>
      </c>
      <c r="H25" s="19"/>
    </row>
    <row r="26">
      <c r="B26" s="392" t="s">
        <v>297</v>
      </c>
      <c r="C26" s="393"/>
      <c r="D26" s="140">
        <f t="shared" si="1"/>
        <v>178587149.3</v>
      </c>
      <c r="E26" s="140">
        <f t="shared" ref="E26:E29" si="2">D26+E25</f>
        <v>107073736.3</v>
      </c>
      <c r="F26" s="130"/>
      <c r="G26" s="390" t="s">
        <v>402</v>
      </c>
      <c r="H26" s="390" t="s">
        <v>276</v>
      </c>
    </row>
    <row r="27">
      <c r="B27" s="392" t="s">
        <v>298</v>
      </c>
      <c r="C27" s="393"/>
      <c r="D27" s="140">
        <f t="shared" si="1"/>
        <v>198117098.3</v>
      </c>
      <c r="E27" s="140">
        <f t="shared" si="2"/>
        <v>305190834.6</v>
      </c>
      <c r="F27" s="130"/>
      <c r="G27" s="394">
        <v>1.0</v>
      </c>
      <c r="H27" s="395">
        <f>E25/(-D26)</f>
        <v>0.4004398597</v>
      </c>
    </row>
    <row r="28">
      <c r="B28" s="392" t="s">
        <v>299</v>
      </c>
      <c r="C28" s="393"/>
      <c r="D28" s="140">
        <f t="shared" si="1"/>
        <v>226973015.1</v>
      </c>
      <c r="E28" s="140">
        <f t="shared" si="2"/>
        <v>532163849.7</v>
      </c>
      <c r="F28" s="130"/>
      <c r="G28" s="396"/>
      <c r="H28" s="397"/>
    </row>
    <row r="29">
      <c r="B29" s="392" t="s">
        <v>300</v>
      </c>
      <c r="C29" s="393"/>
      <c r="D29" s="140">
        <f t="shared" si="1"/>
        <v>246693486.1</v>
      </c>
      <c r="E29" s="140">
        <f t="shared" si="2"/>
        <v>778857335.9</v>
      </c>
      <c r="F29" s="130"/>
      <c r="G29" s="130"/>
      <c r="H29" s="130"/>
    </row>
    <row r="30">
      <c r="B30" s="130"/>
      <c r="C30" s="130"/>
      <c r="D30" s="130"/>
      <c r="E30" s="130"/>
      <c r="F30" s="130"/>
      <c r="G30" s="130"/>
      <c r="H30" s="130"/>
    </row>
    <row r="31">
      <c r="B31" s="130"/>
      <c r="C31" s="130"/>
      <c r="D31" s="130"/>
      <c r="E31" s="130"/>
      <c r="F31" s="130"/>
      <c r="G31" s="130"/>
      <c r="H31" s="130"/>
    </row>
    <row r="32">
      <c r="B32" s="318" t="s">
        <v>403</v>
      </c>
      <c r="C32" s="18"/>
      <c r="D32" s="18"/>
      <c r="E32" s="18"/>
      <c r="F32" s="18"/>
      <c r="G32" s="18"/>
      <c r="H32" s="19"/>
    </row>
    <row r="33">
      <c r="B33" s="130"/>
      <c r="C33" s="130"/>
      <c r="D33" s="130"/>
      <c r="E33" s="130"/>
      <c r="F33" s="130"/>
      <c r="G33" s="130"/>
      <c r="H33" s="130"/>
    </row>
    <row r="34">
      <c r="B34" s="130"/>
      <c r="C34" s="130"/>
      <c r="D34" s="130"/>
      <c r="E34" s="130"/>
      <c r="F34" s="130"/>
      <c r="G34" s="130"/>
      <c r="H34" s="130"/>
    </row>
    <row r="35">
      <c r="B35" s="379"/>
      <c r="C35" s="398" t="s">
        <v>404</v>
      </c>
      <c r="D35" s="18"/>
      <c r="E35" s="18"/>
      <c r="F35" s="18"/>
      <c r="G35" s="18"/>
      <c r="H35" s="19"/>
    </row>
    <row r="36">
      <c r="B36" s="379"/>
      <c r="C36" s="398" t="s">
        <v>405</v>
      </c>
      <c r="D36" s="19"/>
      <c r="E36" s="398" t="s">
        <v>406</v>
      </c>
      <c r="F36" s="19"/>
      <c r="G36" s="398" t="s">
        <v>407</v>
      </c>
      <c r="H36" s="19"/>
    </row>
    <row r="37">
      <c r="B37" s="399" t="s">
        <v>408</v>
      </c>
      <c r="C37" s="400">
        <v>0.08</v>
      </c>
      <c r="D37" s="19"/>
      <c r="E37" s="401" t="s">
        <v>409</v>
      </c>
      <c r="F37" s="19"/>
      <c r="G37" s="400">
        <v>0.1</v>
      </c>
      <c r="H37" s="19"/>
    </row>
    <row r="38">
      <c r="B38" s="132" t="s">
        <v>400</v>
      </c>
      <c r="C38" s="402">
        <f>C24</f>
        <v>-242031495.6</v>
      </c>
      <c r="D38" s="19"/>
      <c r="E38" s="402">
        <f>C24</f>
        <v>-242031495.6</v>
      </c>
      <c r="F38" s="19"/>
      <c r="G38" s="402">
        <f>C24</f>
        <v>-242031495.6</v>
      </c>
      <c r="H38" s="19"/>
    </row>
    <row r="39">
      <c r="B39" s="132" t="s">
        <v>296</v>
      </c>
      <c r="C39" s="402">
        <f t="shared" ref="C39:C43" si="3">E39*(1-$C$37)</f>
        <v>156876635.9</v>
      </c>
      <c r="D39" s="19"/>
      <c r="E39" s="402">
        <f t="shared" ref="E39:E43" si="4">D7</f>
        <v>170518082.5</v>
      </c>
      <c r="F39" s="19"/>
      <c r="G39" s="402">
        <f t="shared" ref="G39:G43" si="5">E39*(1+$G$37)</f>
        <v>187569890.8</v>
      </c>
      <c r="H39" s="19"/>
    </row>
    <row r="40">
      <c r="B40" s="132" t="s">
        <v>297</v>
      </c>
      <c r="C40" s="402">
        <f t="shared" si="3"/>
        <v>164300177.4</v>
      </c>
      <c r="D40" s="19"/>
      <c r="E40" s="402">
        <f t="shared" si="4"/>
        <v>178587149.3</v>
      </c>
      <c r="F40" s="19"/>
      <c r="G40" s="402">
        <f t="shared" si="5"/>
        <v>196445864.3</v>
      </c>
      <c r="H40" s="19"/>
    </row>
    <row r="41">
      <c r="B41" s="132" t="s">
        <v>298</v>
      </c>
      <c r="C41" s="402">
        <f t="shared" si="3"/>
        <v>182267730.5</v>
      </c>
      <c r="D41" s="19"/>
      <c r="E41" s="402">
        <f t="shared" si="4"/>
        <v>198117098.3</v>
      </c>
      <c r="F41" s="19"/>
      <c r="G41" s="402">
        <f t="shared" si="5"/>
        <v>217928808.2</v>
      </c>
      <c r="H41" s="19"/>
    </row>
    <row r="42">
      <c r="B42" s="132" t="s">
        <v>299</v>
      </c>
      <c r="C42" s="402">
        <f t="shared" si="3"/>
        <v>208815173.9</v>
      </c>
      <c r="D42" s="19"/>
      <c r="E42" s="402">
        <f t="shared" si="4"/>
        <v>226973015.1</v>
      </c>
      <c r="F42" s="19"/>
      <c r="G42" s="402">
        <f t="shared" si="5"/>
        <v>249670316.6</v>
      </c>
      <c r="H42" s="19"/>
    </row>
    <row r="43">
      <c r="B43" s="132" t="s">
        <v>300</v>
      </c>
      <c r="C43" s="402">
        <f t="shared" si="3"/>
        <v>226958007.2</v>
      </c>
      <c r="D43" s="19"/>
      <c r="E43" s="402">
        <f t="shared" si="4"/>
        <v>246693486.1</v>
      </c>
      <c r="F43" s="19"/>
      <c r="G43" s="402">
        <f t="shared" si="5"/>
        <v>271362834.8</v>
      </c>
      <c r="H43" s="19"/>
    </row>
    <row r="44">
      <c r="B44" s="132" t="s">
        <v>394</v>
      </c>
      <c r="C44" s="402">
        <f t="array" ref="C44">NPV(G9,C39:D43)+C38</f>
        <v>461654460.4</v>
      </c>
      <c r="D44" s="19"/>
      <c r="E44" s="402">
        <f t="array" ref="E44">NPV(G9,E39:F43)+E38</f>
        <v>522844543.6</v>
      </c>
      <c r="F44" s="19"/>
      <c r="G44" s="402">
        <f t="array" ref="G44">NPV(G9,G39:H43)+G38</f>
        <v>599332147.5</v>
      </c>
      <c r="H44" s="19"/>
    </row>
    <row r="45">
      <c r="B45" s="132" t="s">
        <v>392</v>
      </c>
      <c r="C45" s="403">
        <f>IRR(C38:D43)</f>
        <v>0.6521312081</v>
      </c>
      <c r="D45" s="19"/>
      <c r="E45" s="403">
        <f>IRR(E38:F43)</f>
        <v>0.7158339021</v>
      </c>
      <c r="F45" s="19"/>
      <c r="G45" s="403">
        <f>IRR(G38:H43)</f>
        <v>0.7940364414</v>
      </c>
      <c r="H45" s="19"/>
    </row>
    <row r="46">
      <c r="B46" s="130"/>
      <c r="C46" s="130"/>
      <c r="D46" s="130"/>
      <c r="E46" s="130"/>
      <c r="F46" s="130"/>
      <c r="G46" s="130"/>
      <c r="H46" s="130"/>
    </row>
  </sheetData>
  <mergeCells count="38">
    <mergeCell ref="B3:D3"/>
    <mergeCell ref="B4:C5"/>
    <mergeCell ref="D4:D5"/>
    <mergeCell ref="B12:C12"/>
    <mergeCell ref="B20:D20"/>
    <mergeCell ref="G25:H25"/>
    <mergeCell ref="B32:H32"/>
    <mergeCell ref="C35:H35"/>
    <mergeCell ref="C36:D36"/>
    <mergeCell ref="E36:F36"/>
    <mergeCell ref="G36:H36"/>
    <mergeCell ref="C37:D37"/>
    <mergeCell ref="E37:F37"/>
    <mergeCell ref="G37:H37"/>
    <mergeCell ref="E40:F40"/>
    <mergeCell ref="G40:H40"/>
    <mergeCell ref="C38:D38"/>
    <mergeCell ref="E38:F38"/>
    <mergeCell ref="G38:H38"/>
    <mergeCell ref="C39:D39"/>
    <mergeCell ref="E39:F39"/>
    <mergeCell ref="G39:H39"/>
    <mergeCell ref="C40:D40"/>
    <mergeCell ref="E43:F43"/>
    <mergeCell ref="G43:H43"/>
    <mergeCell ref="C44:D44"/>
    <mergeCell ref="E44:F44"/>
    <mergeCell ref="G44:H44"/>
    <mergeCell ref="C45:D45"/>
    <mergeCell ref="E45:F45"/>
    <mergeCell ref="G45:H45"/>
    <mergeCell ref="C41:D41"/>
    <mergeCell ref="E41:F41"/>
    <mergeCell ref="G41:H41"/>
    <mergeCell ref="C42:D42"/>
    <mergeCell ref="E42:F42"/>
    <mergeCell ref="G42:H42"/>
    <mergeCell ref="C43:D43"/>
  </mergeCells>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23.75"/>
    <col customWidth="1" min="5" max="5" width="13.5"/>
  </cols>
  <sheetData>
    <row r="3">
      <c r="A3" s="80" t="s">
        <v>84</v>
      </c>
      <c r="B3" s="18"/>
      <c r="C3" s="19"/>
      <c r="D3" s="81" t="s">
        <v>85</v>
      </c>
    </row>
    <row r="4">
      <c r="A4" s="82" t="s">
        <v>86</v>
      </c>
      <c r="B4" s="18"/>
      <c r="C4" s="19"/>
      <c r="D4" s="83">
        <v>0.0</v>
      </c>
    </row>
    <row r="5">
      <c r="A5" s="82" t="s">
        <v>87</v>
      </c>
      <c r="B5" s="18"/>
      <c r="C5" s="19"/>
      <c r="D5" s="83">
        <v>0.0</v>
      </c>
    </row>
    <row r="6">
      <c r="A6" s="84" t="s">
        <v>88</v>
      </c>
      <c r="B6" s="18"/>
      <c r="C6" s="19"/>
      <c r="D6" s="85">
        <f>SUM(D4:D5)</f>
        <v>0</v>
      </c>
    </row>
    <row r="9">
      <c r="A9" s="86" t="s">
        <v>89</v>
      </c>
      <c r="B9" s="18"/>
      <c r="C9" s="18"/>
      <c r="D9" s="18"/>
      <c r="E9" s="18"/>
      <c r="F9" s="19"/>
    </row>
    <row r="10">
      <c r="A10" s="87" t="s">
        <v>90</v>
      </c>
      <c r="B10" s="19"/>
      <c r="C10" s="87" t="s">
        <v>91</v>
      </c>
      <c r="D10" s="19"/>
      <c r="E10" s="88" t="s">
        <v>92</v>
      </c>
      <c r="F10" s="88" t="s">
        <v>93</v>
      </c>
    </row>
    <row r="11">
      <c r="A11" s="72" t="s">
        <v>94</v>
      </c>
      <c r="B11" s="19"/>
      <c r="C11" s="89">
        <v>1.0</v>
      </c>
      <c r="D11" s="19"/>
      <c r="E11" s="90">
        <v>500000.0</v>
      </c>
      <c r="F11" s="91">
        <f t="shared" ref="F11:F24" si="1">E11*C11</f>
        <v>500000</v>
      </c>
    </row>
    <row r="12">
      <c r="A12" s="72" t="s">
        <v>95</v>
      </c>
      <c r="B12" s="19"/>
      <c r="C12" s="72">
        <v>1.0</v>
      </c>
      <c r="D12" s="19"/>
      <c r="E12" s="92">
        <v>5256000.0</v>
      </c>
      <c r="F12" s="91">
        <f t="shared" si="1"/>
        <v>5256000</v>
      </c>
    </row>
    <row r="13">
      <c r="A13" s="72" t="s">
        <v>96</v>
      </c>
      <c r="B13" s="19"/>
      <c r="C13" s="72">
        <v>1.0</v>
      </c>
      <c r="D13" s="19"/>
      <c r="E13" s="92">
        <v>2639000.0</v>
      </c>
      <c r="F13" s="91">
        <f t="shared" si="1"/>
        <v>2639000</v>
      </c>
    </row>
    <row r="14">
      <c r="A14" s="72" t="s">
        <v>97</v>
      </c>
      <c r="B14" s="19"/>
      <c r="C14" s="72">
        <v>1.0</v>
      </c>
      <c r="D14" s="19"/>
      <c r="E14" s="92">
        <v>2900000.0</v>
      </c>
      <c r="F14" s="91">
        <f t="shared" si="1"/>
        <v>2900000</v>
      </c>
    </row>
    <row r="15">
      <c r="A15" s="72" t="s">
        <v>98</v>
      </c>
      <c r="B15" s="19"/>
      <c r="C15" s="72">
        <v>1.0</v>
      </c>
      <c r="D15" s="19"/>
      <c r="E15" s="90">
        <v>1.236E7</v>
      </c>
      <c r="F15" s="91">
        <f t="shared" si="1"/>
        <v>12360000</v>
      </c>
    </row>
    <row r="16">
      <c r="A16" s="72" t="s">
        <v>99</v>
      </c>
      <c r="B16" s="19"/>
      <c r="C16" s="72">
        <v>2.0</v>
      </c>
      <c r="D16" s="19"/>
      <c r="E16" s="92">
        <v>1800000.0</v>
      </c>
      <c r="F16" s="91">
        <f t="shared" si="1"/>
        <v>3600000</v>
      </c>
    </row>
    <row r="17">
      <c r="A17" s="72" t="s">
        <v>100</v>
      </c>
      <c r="B17" s="19"/>
      <c r="C17" s="72">
        <v>3.0</v>
      </c>
      <c r="D17" s="19"/>
      <c r="E17" s="92">
        <v>100010.0</v>
      </c>
      <c r="F17" s="91">
        <f t="shared" si="1"/>
        <v>300030</v>
      </c>
    </row>
    <row r="18">
      <c r="A18" s="72" t="s">
        <v>101</v>
      </c>
      <c r="B18" s="19"/>
      <c r="C18" s="72">
        <v>1.0</v>
      </c>
      <c r="D18" s="19"/>
      <c r="E18" s="92">
        <v>242403.0</v>
      </c>
      <c r="F18" s="91">
        <f t="shared" si="1"/>
        <v>242403</v>
      </c>
    </row>
    <row r="19">
      <c r="A19" s="72" t="s">
        <v>102</v>
      </c>
      <c r="B19" s="19"/>
      <c r="C19" s="72">
        <v>1.0</v>
      </c>
      <c r="D19" s="19"/>
      <c r="E19" s="92">
        <v>121523.0</v>
      </c>
      <c r="F19" s="91">
        <f t="shared" si="1"/>
        <v>121523</v>
      </c>
    </row>
    <row r="20">
      <c r="A20" s="72" t="s">
        <v>103</v>
      </c>
      <c r="B20" s="19"/>
      <c r="C20" s="72">
        <v>1.0</v>
      </c>
      <c r="D20" s="19"/>
      <c r="E20" s="92">
        <v>500000.0</v>
      </c>
      <c r="F20" s="91">
        <f t="shared" si="1"/>
        <v>500000</v>
      </c>
    </row>
    <row r="21">
      <c r="A21" s="72" t="s">
        <v>104</v>
      </c>
      <c r="B21" s="19"/>
      <c r="C21" s="72">
        <v>2.0</v>
      </c>
      <c r="D21" s="19"/>
      <c r="E21" s="93">
        <v>164557.0</v>
      </c>
      <c r="F21" s="91">
        <f t="shared" si="1"/>
        <v>329114</v>
      </c>
    </row>
    <row r="22">
      <c r="A22" s="72" t="s">
        <v>105</v>
      </c>
      <c r="B22" s="19"/>
      <c r="C22" s="72">
        <v>28.0</v>
      </c>
      <c r="D22" s="19"/>
      <c r="E22" s="94">
        <v>309999.0</v>
      </c>
      <c r="F22" s="91">
        <f t="shared" si="1"/>
        <v>8679972</v>
      </c>
    </row>
    <row r="23">
      <c r="A23" s="72" t="s">
        <v>106</v>
      </c>
      <c r="B23" s="19"/>
      <c r="C23" s="72">
        <v>8.0</v>
      </c>
      <c r="D23" s="19"/>
      <c r="E23" s="94">
        <v>200000.0</v>
      </c>
      <c r="F23" s="91">
        <f t="shared" si="1"/>
        <v>1600000</v>
      </c>
    </row>
    <row r="24">
      <c r="A24" s="72" t="s">
        <v>107</v>
      </c>
      <c r="B24" s="19"/>
      <c r="C24" s="95">
        <v>3.0</v>
      </c>
      <c r="D24" s="19"/>
      <c r="E24" s="93">
        <v>1959000.0</v>
      </c>
      <c r="F24" s="91">
        <f t="shared" si="1"/>
        <v>5877000</v>
      </c>
    </row>
    <row r="25">
      <c r="A25" s="96" t="s">
        <v>82</v>
      </c>
      <c r="B25" s="18"/>
      <c r="C25" s="18"/>
      <c r="D25" s="18"/>
      <c r="E25" s="19"/>
      <c r="F25" s="85">
        <f>SUM(F11:F24)</f>
        <v>44905042</v>
      </c>
    </row>
    <row r="27">
      <c r="A27" s="86" t="s">
        <v>108</v>
      </c>
      <c r="B27" s="18"/>
      <c r="C27" s="18"/>
      <c r="D27" s="18"/>
      <c r="E27" s="18"/>
      <c r="F27" s="19"/>
    </row>
    <row r="28">
      <c r="A28" s="87" t="s">
        <v>108</v>
      </c>
      <c r="B28" s="19"/>
      <c r="C28" s="87" t="s">
        <v>91</v>
      </c>
      <c r="D28" s="19"/>
      <c r="E28" s="88" t="s">
        <v>92</v>
      </c>
      <c r="F28" s="88" t="s">
        <v>93</v>
      </c>
    </row>
    <row r="29">
      <c r="A29" s="69" t="s">
        <v>109</v>
      </c>
      <c r="B29" s="19"/>
      <c r="C29" s="97">
        <v>60.0</v>
      </c>
      <c r="D29" s="19"/>
      <c r="E29" s="98">
        <v>45000.0</v>
      </c>
      <c r="F29" s="98">
        <f t="shared" ref="F29:F30" si="2">E29*C29</f>
        <v>2700000</v>
      </c>
    </row>
    <row r="30">
      <c r="A30" s="69" t="s">
        <v>110</v>
      </c>
      <c r="B30" s="19"/>
      <c r="C30" s="97">
        <v>60.0</v>
      </c>
      <c r="D30" s="19"/>
      <c r="E30" s="98">
        <v>18000.0</v>
      </c>
      <c r="F30" s="98">
        <f t="shared" si="2"/>
        <v>1080000</v>
      </c>
    </row>
    <row r="31">
      <c r="A31" s="69" t="s">
        <v>111</v>
      </c>
      <c r="B31" s="19"/>
      <c r="C31" s="99" t="s">
        <v>112</v>
      </c>
      <c r="D31" s="19"/>
      <c r="E31" s="98">
        <v>3000000.0</v>
      </c>
      <c r="F31" s="98">
        <f>E31</f>
        <v>3000000</v>
      </c>
    </row>
    <row r="32">
      <c r="A32" s="96" t="s">
        <v>82</v>
      </c>
      <c r="B32" s="18"/>
      <c r="C32" s="18"/>
      <c r="D32" s="18"/>
      <c r="E32" s="19"/>
      <c r="F32" s="100">
        <f>SUM(F29:F31)</f>
        <v>6780000</v>
      </c>
    </row>
    <row r="33">
      <c r="A33" s="101"/>
      <c r="B33" s="101"/>
      <c r="C33" s="101"/>
      <c r="D33" s="101"/>
      <c r="E33" s="101"/>
      <c r="F33" s="101"/>
    </row>
    <row r="34">
      <c r="A34" s="101"/>
      <c r="B34" s="101"/>
      <c r="C34" s="101"/>
      <c r="D34" s="101"/>
      <c r="E34" s="101"/>
      <c r="F34" s="101"/>
    </row>
    <row r="35">
      <c r="A35" s="86" t="s">
        <v>113</v>
      </c>
      <c r="B35" s="18"/>
      <c r="C35" s="18"/>
      <c r="D35" s="18"/>
      <c r="E35" s="18"/>
      <c r="F35" s="19"/>
    </row>
    <row r="36">
      <c r="A36" s="102" t="s">
        <v>114</v>
      </c>
      <c r="B36" s="19"/>
      <c r="C36" s="87" t="s">
        <v>91</v>
      </c>
      <c r="D36" s="19"/>
      <c r="E36" s="88" t="s">
        <v>92</v>
      </c>
      <c r="F36" s="88" t="s">
        <v>93</v>
      </c>
    </row>
    <row r="37">
      <c r="A37" s="69" t="s">
        <v>115</v>
      </c>
      <c r="B37" s="19"/>
      <c r="C37" s="97">
        <v>1.0</v>
      </c>
      <c r="D37" s="19"/>
      <c r="E37" s="98">
        <v>204900.0</v>
      </c>
      <c r="F37" s="83">
        <f t="shared" ref="F37:F41" si="3">E37*C37</f>
        <v>204900</v>
      </c>
    </row>
    <row r="38">
      <c r="A38" s="69" t="s">
        <v>116</v>
      </c>
      <c r="B38" s="19"/>
      <c r="C38" s="97">
        <v>1.0</v>
      </c>
      <c r="D38" s="19"/>
      <c r="E38" s="103">
        <v>137900.0</v>
      </c>
      <c r="F38" s="83">
        <f t="shared" si="3"/>
        <v>137900</v>
      </c>
    </row>
    <row r="39">
      <c r="A39" s="69" t="s">
        <v>117</v>
      </c>
      <c r="B39" s="19"/>
      <c r="C39" s="97">
        <v>1.0</v>
      </c>
      <c r="D39" s="19"/>
      <c r="E39" s="103">
        <v>1452458.0</v>
      </c>
      <c r="F39" s="83">
        <f t="shared" si="3"/>
        <v>1452458</v>
      </c>
    </row>
    <row r="40">
      <c r="A40" s="69" t="s">
        <v>118</v>
      </c>
      <c r="B40" s="19"/>
      <c r="C40" s="97">
        <v>1.0</v>
      </c>
      <c r="D40" s="19"/>
      <c r="E40" s="103">
        <v>1299000.0</v>
      </c>
      <c r="F40" s="83">
        <f t="shared" si="3"/>
        <v>1299000</v>
      </c>
    </row>
    <row r="41">
      <c r="A41" s="69" t="s">
        <v>119</v>
      </c>
      <c r="B41" s="19"/>
      <c r="C41" s="97">
        <v>1.0</v>
      </c>
      <c r="D41" s="19"/>
      <c r="E41" s="103">
        <v>899000.0</v>
      </c>
      <c r="F41" s="83">
        <f t="shared" si="3"/>
        <v>899000</v>
      </c>
    </row>
    <row r="42">
      <c r="A42" s="96" t="s">
        <v>82</v>
      </c>
      <c r="B42" s="18"/>
      <c r="C42" s="18"/>
      <c r="D42" s="18"/>
      <c r="E42" s="19"/>
      <c r="F42" s="85">
        <f>SUM(F37:F41)</f>
        <v>3993258</v>
      </c>
    </row>
    <row r="45">
      <c r="A45" s="86" t="s">
        <v>120</v>
      </c>
      <c r="B45" s="18"/>
      <c r="C45" s="18"/>
      <c r="D45" s="18"/>
      <c r="E45" s="18"/>
      <c r="F45" s="19"/>
    </row>
    <row r="46">
      <c r="A46" s="102" t="s">
        <v>120</v>
      </c>
      <c r="B46" s="19"/>
      <c r="C46" s="87" t="s">
        <v>91</v>
      </c>
      <c r="D46" s="19"/>
      <c r="E46" s="88" t="s">
        <v>92</v>
      </c>
      <c r="F46" s="88" t="s">
        <v>93</v>
      </c>
    </row>
    <row r="47">
      <c r="A47" s="72" t="s">
        <v>121</v>
      </c>
      <c r="B47" s="19"/>
      <c r="C47" s="72">
        <v>1.0</v>
      </c>
      <c r="D47" s="19"/>
      <c r="E47" s="92">
        <v>49900.0</v>
      </c>
      <c r="F47" s="91">
        <f t="shared" ref="F47:F64" si="4">E47*C47</f>
        <v>49900</v>
      </c>
    </row>
    <row r="48">
      <c r="A48" s="72" t="s">
        <v>122</v>
      </c>
      <c r="B48" s="19"/>
      <c r="C48" s="72">
        <v>2.0</v>
      </c>
      <c r="D48" s="19"/>
      <c r="E48" s="92">
        <v>108000.0</v>
      </c>
      <c r="F48" s="91">
        <f t="shared" si="4"/>
        <v>216000</v>
      </c>
    </row>
    <row r="49">
      <c r="A49" s="72" t="s">
        <v>123</v>
      </c>
      <c r="B49" s="19"/>
      <c r="C49" s="72">
        <v>1.0</v>
      </c>
      <c r="D49" s="19"/>
      <c r="E49" s="92">
        <v>487811.0</v>
      </c>
      <c r="F49" s="91">
        <f t="shared" si="4"/>
        <v>487811</v>
      </c>
    </row>
    <row r="50">
      <c r="A50" s="72" t="s">
        <v>124</v>
      </c>
      <c r="B50" s="19"/>
      <c r="C50" s="72">
        <v>1.0</v>
      </c>
      <c r="D50" s="19"/>
      <c r="E50" s="92">
        <v>129000.0</v>
      </c>
      <c r="F50" s="91">
        <f t="shared" si="4"/>
        <v>129000</v>
      </c>
    </row>
    <row r="51">
      <c r="A51" s="72" t="s">
        <v>125</v>
      </c>
      <c r="B51" s="19"/>
      <c r="C51" s="72">
        <v>1.0</v>
      </c>
      <c r="D51" s="19"/>
      <c r="E51" s="92">
        <v>135428.0</v>
      </c>
      <c r="F51" s="91">
        <f t="shared" si="4"/>
        <v>135428</v>
      </c>
    </row>
    <row r="52">
      <c r="A52" s="72" t="s">
        <v>126</v>
      </c>
      <c r="B52" s="19"/>
      <c r="C52" s="104">
        <v>2.0</v>
      </c>
      <c r="D52" s="19"/>
      <c r="E52" s="92">
        <v>28000.0</v>
      </c>
      <c r="F52" s="91">
        <f t="shared" si="4"/>
        <v>56000</v>
      </c>
    </row>
    <row r="53">
      <c r="A53" s="72" t="s">
        <v>127</v>
      </c>
      <c r="B53" s="19"/>
      <c r="C53" s="105">
        <v>2.0</v>
      </c>
      <c r="D53" s="19"/>
      <c r="E53" s="106">
        <v>37000.0</v>
      </c>
      <c r="F53" s="91">
        <f t="shared" si="4"/>
        <v>74000</v>
      </c>
    </row>
    <row r="54">
      <c r="A54" s="105" t="s">
        <v>128</v>
      </c>
      <c r="B54" s="19"/>
      <c r="C54" s="72">
        <v>2.0</v>
      </c>
      <c r="D54" s="19"/>
      <c r="E54" s="106">
        <v>9900.0</v>
      </c>
      <c r="F54" s="91">
        <f t="shared" si="4"/>
        <v>19800</v>
      </c>
    </row>
    <row r="55">
      <c r="A55" s="105" t="s">
        <v>129</v>
      </c>
      <c r="B55" s="19"/>
      <c r="C55" s="105">
        <v>2.0</v>
      </c>
      <c r="D55" s="19"/>
      <c r="E55" s="106">
        <v>79000.0</v>
      </c>
      <c r="F55" s="91">
        <f t="shared" si="4"/>
        <v>158000</v>
      </c>
    </row>
    <row r="56">
      <c r="A56" s="105" t="s">
        <v>130</v>
      </c>
      <c r="B56" s="19"/>
      <c r="C56" s="105">
        <v>2.0</v>
      </c>
      <c r="D56" s="19"/>
      <c r="E56" s="106">
        <v>8990.0</v>
      </c>
      <c r="F56" s="91">
        <f t="shared" si="4"/>
        <v>17980</v>
      </c>
    </row>
    <row r="57">
      <c r="A57" s="105" t="s">
        <v>131</v>
      </c>
      <c r="B57" s="19"/>
      <c r="C57" s="105">
        <v>2.0</v>
      </c>
      <c r="D57" s="19"/>
      <c r="E57" s="106">
        <v>10500.0</v>
      </c>
      <c r="F57" s="91">
        <f t="shared" si="4"/>
        <v>21000</v>
      </c>
    </row>
    <row r="58">
      <c r="A58" s="105" t="s">
        <v>132</v>
      </c>
      <c r="B58" s="19"/>
      <c r="C58" s="105">
        <v>2.0</v>
      </c>
      <c r="D58" s="19"/>
      <c r="E58" s="106">
        <v>19500.0</v>
      </c>
      <c r="F58" s="91">
        <f t="shared" si="4"/>
        <v>39000</v>
      </c>
    </row>
    <row r="59">
      <c r="A59" s="105" t="s">
        <v>133</v>
      </c>
      <c r="B59" s="19"/>
      <c r="C59" s="105">
        <v>2.0</v>
      </c>
      <c r="D59" s="19"/>
      <c r="E59" s="106">
        <v>38000.0</v>
      </c>
      <c r="F59" s="91">
        <f t="shared" si="4"/>
        <v>76000</v>
      </c>
    </row>
    <row r="60">
      <c r="A60" s="105" t="s">
        <v>134</v>
      </c>
      <c r="B60" s="19"/>
      <c r="C60" s="105">
        <v>2.0</v>
      </c>
      <c r="D60" s="19"/>
      <c r="E60" s="106">
        <v>30000.0</v>
      </c>
      <c r="F60" s="91">
        <f t="shared" si="4"/>
        <v>60000</v>
      </c>
    </row>
    <row r="61">
      <c r="A61" s="72" t="s">
        <v>135</v>
      </c>
      <c r="B61" s="19"/>
      <c r="C61" s="105">
        <v>1.0</v>
      </c>
      <c r="D61" s="19"/>
      <c r="E61" s="106">
        <v>346226.0</v>
      </c>
      <c r="F61" s="91">
        <f t="shared" si="4"/>
        <v>346226</v>
      </c>
    </row>
    <row r="62">
      <c r="A62" s="105" t="s">
        <v>136</v>
      </c>
      <c r="B62" s="19"/>
      <c r="C62" s="105">
        <v>1.0</v>
      </c>
      <c r="D62" s="19"/>
      <c r="E62" s="106">
        <v>7492.0</v>
      </c>
      <c r="F62" s="91">
        <f t="shared" si="4"/>
        <v>7492</v>
      </c>
    </row>
    <row r="63">
      <c r="A63" s="72" t="s">
        <v>137</v>
      </c>
      <c r="B63" s="19"/>
      <c r="C63" s="105">
        <v>1.0</v>
      </c>
      <c r="D63" s="19"/>
      <c r="E63" s="106">
        <v>23700.0</v>
      </c>
      <c r="F63" s="91">
        <f t="shared" si="4"/>
        <v>23700</v>
      </c>
    </row>
    <row r="64">
      <c r="A64" s="69" t="s">
        <v>138</v>
      </c>
      <c r="B64" s="19"/>
      <c r="C64" s="105">
        <v>1.0</v>
      </c>
      <c r="D64" s="19"/>
      <c r="E64" s="106">
        <v>199920.0</v>
      </c>
      <c r="F64" s="91">
        <f t="shared" si="4"/>
        <v>199920</v>
      </c>
    </row>
    <row r="65">
      <c r="A65" s="96" t="s">
        <v>82</v>
      </c>
      <c r="B65" s="18"/>
      <c r="C65" s="18"/>
      <c r="D65" s="18"/>
      <c r="E65" s="19"/>
      <c r="F65" s="107">
        <f>SUM(F47:F64)</f>
        <v>2117257</v>
      </c>
    </row>
    <row r="68">
      <c r="B68" s="108" t="s">
        <v>139</v>
      </c>
      <c r="C68" s="18"/>
      <c r="D68" s="19"/>
    </row>
    <row r="69">
      <c r="B69" s="109" t="s">
        <v>140</v>
      </c>
      <c r="C69" s="18"/>
      <c r="D69" s="110" t="s">
        <v>141</v>
      </c>
    </row>
    <row r="70">
      <c r="B70" s="111" t="s">
        <v>142</v>
      </c>
      <c r="C70" s="112"/>
      <c r="D70" s="113">
        <f t="shared" ref="D70:D71" si="5">D4</f>
        <v>0</v>
      </c>
    </row>
    <row r="71">
      <c r="B71" s="111" t="s">
        <v>143</v>
      </c>
      <c r="C71" s="112"/>
      <c r="D71" s="113">
        <f t="shared" si="5"/>
        <v>0</v>
      </c>
    </row>
    <row r="72">
      <c r="B72" s="111" t="s">
        <v>144</v>
      </c>
      <c r="C72" s="112"/>
      <c r="D72" s="113">
        <f>F25</f>
        <v>44905042</v>
      </c>
    </row>
    <row r="73">
      <c r="B73" s="111" t="s">
        <v>145</v>
      </c>
      <c r="C73" s="112"/>
      <c r="D73" s="113">
        <f>F32</f>
        <v>6780000</v>
      </c>
    </row>
    <row r="74">
      <c r="B74" s="111" t="s">
        <v>114</v>
      </c>
      <c r="C74" s="112"/>
      <c r="D74" s="113">
        <f>F42</f>
        <v>3993258</v>
      </c>
    </row>
    <row r="75">
      <c r="B75" s="114" t="s">
        <v>120</v>
      </c>
      <c r="C75" s="112"/>
      <c r="D75" s="113">
        <f>F65</f>
        <v>2117257</v>
      </c>
    </row>
    <row r="76">
      <c r="B76" s="115" t="s">
        <v>82</v>
      </c>
      <c r="C76" s="19"/>
      <c r="D76" s="116">
        <f>SUM(D70:D75)</f>
        <v>57795557</v>
      </c>
    </row>
    <row r="78">
      <c r="B78" s="117" t="s">
        <v>146</v>
      </c>
      <c r="C78" s="18"/>
      <c r="D78" s="19"/>
    </row>
    <row r="79">
      <c r="B79" s="118" t="s">
        <v>140</v>
      </c>
      <c r="C79" s="119"/>
      <c r="D79" s="120" t="s">
        <v>141</v>
      </c>
    </row>
    <row r="80">
      <c r="B80" s="111" t="s">
        <v>147</v>
      </c>
      <c r="C80" s="121"/>
      <c r="D80" s="122">
        <v>250000.0</v>
      </c>
    </row>
    <row r="81">
      <c r="B81" s="123" t="s">
        <v>148</v>
      </c>
      <c r="C81" s="18"/>
      <c r="D81" s="124">
        <v>804500.0</v>
      </c>
    </row>
    <row r="82">
      <c r="B82" s="111" t="s">
        <v>149</v>
      </c>
      <c r="C82" s="121"/>
      <c r="D82" s="122">
        <v>765000.0</v>
      </c>
    </row>
    <row r="83">
      <c r="B83" s="111" t="s">
        <v>150</v>
      </c>
      <c r="C83" s="121"/>
      <c r="D83" s="125">
        <v>5000000.0</v>
      </c>
    </row>
    <row r="84">
      <c r="B84" s="126" t="s">
        <v>82</v>
      </c>
      <c r="C84" s="19"/>
      <c r="D84" s="107">
        <f>SUM(D80:D83)</f>
        <v>6819500</v>
      </c>
    </row>
    <row r="87">
      <c r="B87" s="127" t="s">
        <v>151</v>
      </c>
      <c r="C87" s="128"/>
      <c r="D87" s="85">
        <f>D84/5</f>
        <v>1363900</v>
      </c>
    </row>
  </sheetData>
  <mergeCells count="107">
    <mergeCell ref="A3:C3"/>
    <mergeCell ref="A4:C4"/>
    <mergeCell ref="A5:C5"/>
    <mergeCell ref="A6:C6"/>
    <mergeCell ref="A9:F9"/>
    <mergeCell ref="A10:B10"/>
    <mergeCell ref="C10:D10"/>
    <mergeCell ref="A11:B11"/>
    <mergeCell ref="C11:D11"/>
    <mergeCell ref="A12:B12"/>
    <mergeCell ref="C12:D12"/>
    <mergeCell ref="A13:B13"/>
    <mergeCell ref="C13:D13"/>
    <mergeCell ref="C14:D14"/>
    <mergeCell ref="A21:B21"/>
    <mergeCell ref="A22:B22"/>
    <mergeCell ref="A23:B23"/>
    <mergeCell ref="A24:B24"/>
    <mergeCell ref="A14:B14"/>
    <mergeCell ref="A15:B15"/>
    <mergeCell ref="A16:B16"/>
    <mergeCell ref="A17:B17"/>
    <mergeCell ref="A18:B18"/>
    <mergeCell ref="A19:B19"/>
    <mergeCell ref="A20:B20"/>
    <mergeCell ref="C15:D15"/>
    <mergeCell ref="C16:D16"/>
    <mergeCell ref="C17:D17"/>
    <mergeCell ref="C18:D18"/>
    <mergeCell ref="C19:D19"/>
    <mergeCell ref="C20:D20"/>
    <mergeCell ref="C21:D21"/>
    <mergeCell ref="C22:D22"/>
    <mergeCell ref="C23:D23"/>
    <mergeCell ref="C24:D24"/>
    <mergeCell ref="A25:E25"/>
    <mergeCell ref="A27:F27"/>
    <mergeCell ref="A28:B28"/>
    <mergeCell ref="C28:D28"/>
    <mergeCell ref="A29:B29"/>
    <mergeCell ref="C29:D29"/>
    <mergeCell ref="A30:B30"/>
    <mergeCell ref="C30:D30"/>
    <mergeCell ref="A31:B31"/>
    <mergeCell ref="C31:D31"/>
    <mergeCell ref="A32:E32"/>
    <mergeCell ref="A59:B59"/>
    <mergeCell ref="A60:B60"/>
    <mergeCell ref="A61:B61"/>
    <mergeCell ref="A62:B62"/>
    <mergeCell ref="A63:B63"/>
    <mergeCell ref="A64:B64"/>
    <mergeCell ref="C60:D60"/>
    <mergeCell ref="C61:D61"/>
    <mergeCell ref="C62:D62"/>
    <mergeCell ref="C63:D63"/>
    <mergeCell ref="C64:D64"/>
    <mergeCell ref="A65:E65"/>
    <mergeCell ref="B68:D68"/>
    <mergeCell ref="A35:F35"/>
    <mergeCell ref="A36:B36"/>
    <mergeCell ref="C36:D36"/>
    <mergeCell ref="A37:B37"/>
    <mergeCell ref="C37:D37"/>
    <mergeCell ref="A38:B38"/>
    <mergeCell ref="C38:D38"/>
    <mergeCell ref="A39:B39"/>
    <mergeCell ref="C39:D39"/>
    <mergeCell ref="A40:B40"/>
    <mergeCell ref="C40:D40"/>
    <mergeCell ref="A41:B41"/>
    <mergeCell ref="C41:D41"/>
    <mergeCell ref="A42:E42"/>
    <mergeCell ref="A45:F45"/>
    <mergeCell ref="A46:B46"/>
    <mergeCell ref="C46:D46"/>
    <mergeCell ref="A47:B47"/>
    <mergeCell ref="C47:D47"/>
    <mergeCell ref="A48:B48"/>
    <mergeCell ref="C48:D48"/>
    <mergeCell ref="A49:B49"/>
    <mergeCell ref="C49:D49"/>
    <mergeCell ref="A50:B50"/>
    <mergeCell ref="C50:D50"/>
    <mergeCell ref="A51:B51"/>
    <mergeCell ref="C51:D51"/>
    <mergeCell ref="C52:D52"/>
    <mergeCell ref="A52:B52"/>
    <mergeCell ref="A53:B53"/>
    <mergeCell ref="A54:B54"/>
    <mergeCell ref="A55:B55"/>
    <mergeCell ref="A56:B56"/>
    <mergeCell ref="A57:B57"/>
    <mergeCell ref="A58:B58"/>
    <mergeCell ref="C53:D53"/>
    <mergeCell ref="C54:D54"/>
    <mergeCell ref="C55:D55"/>
    <mergeCell ref="C56:D56"/>
    <mergeCell ref="C57:D57"/>
    <mergeCell ref="C58:D58"/>
    <mergeCell ref="C59:D59"/>
    <mergeCell ref="B69:C69"/>
    <mergeCell ref="B76:C76"/>
    <mergeCell ref="B78:D78"/>
    <mergeCell ref="B79:C79"/>
    <mergeCell ref="B81:C81"/>
    <mergeCell ref="B84:C84"/>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19.88"/>
    <col customWidth="1" min="5" max="5" width="15.5"/>
    <col customWidth="1" min="6" max="6" width="16.38"/>
  </cols>
  <sheetData>
    <row r="3">
      <c r="A3" s="129" t="s">
        <v>152</v>
      </c>
      <c r="B3" s="18"/>
      <c r="C3" s="18"/>
      <c r="D3" s="18"/>
      <c r="E3" s="18"/>
      <c r="F3" s="18"/>
      <c r="G3" s="18"/>
      <c r="H3" s="18"/>
      <c r="I3" s="18"/>
      <c r="J3" s="18"/>
      <c r="K3" s="18"/>
      <c r="L3" s="19"/>
    </row>
    <row r="7">
      <c r="A7" s="130"/>
      <c r="B7" s="131" t="s">
        <v>153</v>
      </c>
      <c r="C7" s="19"/>
      <c r="D7" s="132" t="s">
        <v>154</v>
      </c>
      <c r="E7" s="133" t="s">
        <v>155</v>
      </c>
      <c r="F7" s="133" t="s">
        <v>156</v>
      </c>
      <c r="G7" s="134" t="s">
        <v>157</v>
      </c>
    </row>
    <row r="8">
      <c r="A8" s="135" t="s">
        <v>27</v>
      </c>
      <c r="B8" s="136" t="s">
        <v>28</v>
      </c>
      <c r="C8" s="137"/>
      <c r="D8" s="138">
        <v>44286.0</v>
      </c>
      <c r="E8" s="139">
        <f>VENTAS!F58</f>
        <v>0.01142857143</v>
      </c>
      <c r="F8" s="140">
        <f t="shared" ref="F8:F35" si="2">E8*D8</f>
        <v>506.1257143</v>
      </c>
      <c r="G8" s="141">
        <f>SUM(F8:F14)</f>
        <v>3557.691429</v>
      </c>
      <c r="H8" s="142">
        <f t="shared" ref="H8:K8" si="1">G8*(1+2%)</f>
        <v>3628.845257</v>
      </c>
      <c r="I8" s="142">
        <f t="shared" si="1"/>
        <v>3701.422162</v>
      </c>
      <c r="J8" s="142">
        <f t="shared" si="1"/>
        <v>3775.450606</v>
      </c>
      <c r="K8" s="142">
        <f t="shared" si="1"/>
        <v>3850.959618</v>
      </c>
    </row>
    <row r="9">
      <c r="A9" s="35"/>
      <c r="B9" s="136" t="s">
        <v>29</v>
      </c>
      <c r="C9" s="137"/>
      <c r="D9" s="138">
        <v>43497.0</v>
      </c>
      <c r="E9" s="143">
        <f t="shared" ref="E9:E14" si="3">E8</f>
        <v>0.01142857143</v>
      </c>
      <c r="F9" s="140">
        <f t="shared" si="2"/>
        <v>497.1085714</v>
      </c>
      <c r="G9" s="35"/>
      <c r="H9" s="35"/>
      <c r="I9" s="35"/>
      <c r="J9" s="35"/>
      <c r="K9" s="35"/>
    </row>
    <row r="10">
      <c r="A10" s="35"/>
      <c r="B10" s="136" t="s">
        <v>30</v>
      </c>
      <c r="C10" s="137"/>
      <c r="D10" s="138">
        <v>46872.0</v>
      </c>
      <c r="E10" s="143">
        <f t="shared" si="3"/>
        <v>0.01142857143</v>
      </c>
      <c r="F10" s="140">
        <f t="shared" si="2"/>
        <v>535.68</v>
      </c>
      <c r="G10" s="35"/>
      <c r="H10" s="35"/>
      <c r="I10" s="35"/>
      <c r="J10" s="35"/>
      <c r="K10" s="35"/>
    </row>
    <row r="11">
      <c r="A11" s="35"/>
      <c r="B11" s="136" t="s">
        <v>33</v>
      </c>
      <c r="C11" s="137"/>
      <c r="D11" s="138">
        <v>44480.0</v>
      </c>
      <c r="E11" s="143">
        <f t="shared" si="3"/>
        <v>0.01142857143</v>
      </c>
      <c r="F11" s="140">
        <f t="shared" si="2"/>
        <v>508.3428571</v>
      </c>
      <c r="G11" s="35"/>
      <c r="H11" s="35"/>
      <c r="I11" s="35"/>
      <c r="J11" s="35"/>
      <c r="K11" s="35"/>
    </row>
    <row r="12">
      <c r="A12" s="35"/>
      <c r="B12" s="136" t="s">
        <v>34</v>
      </c>
      <c r="C12" s="137"/>
      <c r="D12" s="138">
        <v>43161.0</v>
      </c>
      <c r="E12" s="143">
        <f t="shared" si="3"/>
        <v>0.01142857143</v>
      </c>
      <c r="F12" s="140">
        <f t="shared" si="2"/>
        <v>493.2685714</v>
      </c>
      <c r="G12" s="35"/>
      <c r="H12" s="35"/>
      <c r="I12" s="35"/>
      <c r="J12" s="35"/>
      <c r="K12" s="35"/>
    </row>
    <row r="13">
      <c r="A13" s="35"/>
      <c r="B13" s="136" t="s">
        <v>35</v>
      </c>
      <c r="C13" s="137"/>
      <c r="D13" s="138">
        <v>46476.0</v>
      </c>
      <c r="E13" s="143">
        <f t="shared" si="3"/>
        <v>0.01142857143</v>
      </c>
      <c r="F13" s="140">
        <f t="shared" si="2"/>
        <v>531.1542857</v>
      </c>
      <c r="G13" s="35"/>
      <c r="H13" s="35"/>
      <c r="I13" s="35"/>
      <c r="J13" s="35"/>
      <c r="K13" s="35"/>
    </row>
    <row r="14">
      <c r="A14" s="38"/>
      <c r="B14" s="136" t="s">
        <v>36</v>
      </c>
      <c r="C14" s="137"/>
      <c r="D14" s="138">
        <v>42526.0</v>
      </c>
      <c r="E14" s="143">
        <f t="shared" si="3"/>
        <v>0.01142857143</v>
      </c>
      <c r="F14" s="140">
        <f t="shared" si="2"/>
        <v>486.0114286</v>
      </c>
      <c r="G14" s="38"/>
      <c r="H14" s="38"/>
      <c r="I14" s="38"/>
      <c r="J14" s="38"/>
      <c r="K14" s="38"/>
    </row>
    <row r="15">
      <c r="A15" s="135" t="s">
        <v>158</v>
      </c>
      <c r="B15" s="144" t="s">
        <v>38</v>
      </c>
      <c r="C15" s="145"/>
      <c r="D15" s="138">
        <v>44730.0</v>
      </c>
      <c r="E15" s="139">
        <f>VENTAS!F72</f>
        <v>0.016</v>
      </c>
      <c r="F15" s="140">
        <f t="shared" si="2"/>
        <v>715.68</v>
      </c>
      <c r="G15" s="141">
        <f>SUM(F15:F19)</f>
        <v>2206</v>
      </c>
      <c r="H15" s="142">
        <f t="shared" ref="H15:K15" si="4">G15*(1+2%)</f>
        <v>2250.12</v>
      </c>
      <c r="I15" s="142">
        <f t="shared" si="4"/>
        <v>2295.1224</v>
      </c>
      <c r="J15" s="142">
        <f t="shared" si="4"/>
        <v>2341.024848</v>
      </c>
      <c r="K15" s="142">
        <f t="shared" si="4"/>
        <v>2387.845345</v>
      </c>
    </row>
    <row r="16">
      <c r="A16" s="35"/>
      <c r="B16" s="144" t="s">
        <v>39</v>
      </c>
      <c r="C16" s="145"/>
      <c r="D16" s="138">
        <v>13126.0</v>
      </c>
      <c r="E16" s="143">
        <f t="shared" ref="E16:E19" si="5">E15</f>
        <v>0.016</v>
      </c>
      <c r="F16" s="140">
        <f t="shared" si="2"/>
        <v>210.016</v>
      </c>
      <c r="G16" s="35"/>
      <c r="H16" s="35"/>
      <c r="I16" s="35"/>
      <c r="J16" s="35"/>
      <c r="K16" s="35"/>
    </row>
    <row r="17">
      <c r="A17" s="35"/>
      <c r="B17" s="144" t="s">
        <v>40</v>
      </c>
      <c r="C17" s="145"/>
      <c r="D17" s="138">
        <v>21553.0</v>
      </c>
      <c r="E17" s="143">
        <f t="shared" si="5"/>
        <v>0.016</v>
      </c>
      <c r="F17" s="140">
        <f t="shared" si="2"/>
        <v>344.848</v>
      </c>
      <c r="G17" s="35"/>
      <c r="H17" s="35"/>
      <c r="I17" s="35"/>
      <c r="J17" s="35"/>
      <c r="K17" s="35"/>
    </row>
    <row r="18">
      <c r="A18" s="35"/>
      <c r="B18" s="144" t="s">
        <v>41</v>
      </c>
      <c r="C18" s="145"/>
      <c r="D18" s="138">
        <v>27716.0</v>
      </c>
      <c r="E18" s="143">
        <f t="shared" si="5"/>
        <v>0.016</v>
      </c>
      <c r="F18" s="140">
        <f t="shared" si="2"/>
        <v>443.456</v>
      </c>
      <c r="G18" s="35"/>
      <c r="H18" s="35"/>
      <c r="I18" s="35"/>
      <c r="J18" s="35"/>
      <c r="K18" s="35"/>
    </row>
    <row r="19">
      <c r="A19" s="38"/>
      <c r="B19" s="144" t="s">
        <v>42</v>
      </c>
      <c r="C19" s="145"/>
      <c r="D19" s="138">
        <v>30750.0</v>
      </c>
      <c r="E19" s="143">
        <f t="shared" si="5"/>
        <v>0.016</v>
      </c>
      <c r="F19" s="140">
        <f t="shared" si="2"/>
        <v>492</v>
      </c>
      <c r="G19" s="38"/>
      <c r="H19" s="38"/>
      <c r="I19" s="38"/>
      <c r="J19" s="38"/>
      <c r="K19" s="38"/>
    </row>
    <row r="20">
      <c r="A20" s="146" t="s">
        <v>43</v>
      </c>
      <c r="B20" s="147" t="s">
        <v>44</v>
      </c>
      <c r="C20" s="19"/>
      <c r="D20" s="138">
        <v>9717.0</v>
      </c>
      <c r="E20" s="139">
        <f>VENTAS!F82</f>
        <v>0.02</v>
      </c>
      <c r="F20" s="140">
        <f t="shared" si="2"/>
        <v>194.34</v>
      </c>
      <c r="G20" s="141">
        <f>SUM(F20:F23)</f>
        <v>760.1</v>
      </c>
      <c r="H20" s="142">
        <f t="shared" ref="H20:K20" si="6">G20*(1+2%)</f>
        <v>775.302</v>
      </c>
      <c r="I20" s="142">
        <f t="shared" si="6"/>
        <v>790.80804</v>
      </c>
      <c r="J20" s="142">
        <f t="shared" si="6"/>
        <v>806.6242008</v>
      </c>
      <c r="K20" s="142">
        <f t="shared" si="6"/>
        <v>822.7566848</v>
      </c>
    </row>
    <row r="21">
      <c r="A21" s="35"/>
      <c r="B21" s="148" t="s">
        <v>45</v>
      </c>
      <c r="C21" s="149"/>
      <c r="D21" s="138">
        <v>9873.0</v>
      </c>
      <c r="E21" s="143">
        <f t="shared" ref="E21:E23" si="7">E20</f>
        <v>0.02</v>
      </c>
      <c r="F21" s="140">
        <f t="shared" si="2"/>
        <v>197.46</v>
      </c>
      <c r="G21" s="35"/>
      <c r="H21" s="35"/>
      <c r="I21" s="35"/>
      <c r="J21" s="35"/>
      <c r="K21" s="35"/>
    </row>
    <row r="22">
      <c r="A22" s="35"/>
      <c r="B22" s="148" t="s">
        <v>46</v>
      </c>
      <c r="C22" s="149"/>
      <c r="D22" s="138">
        <v>7706.0</v>
      </c>
      <c r="E22" s="143">
        <f t="shared" si="7"/>
        <v>0.02</v>
      </c>
      <c r="F22" s="140">
        <f t="shared" si="2"/>
        <v>154.12</v>
      </c>
      <c r="G22" s="35"/>
      <c r="H22" s="35"/>
      <c r="I22" s="35"/>
      <c r="J22" s="35"/>
      <c r="K22" s="35"/>
    </row>
    <row r="23">
      <c r="A23" s="38"/>
      <c r="B23" s="148" t="s">
        <v>47</v>
      </c>
      <c r="C23" s="149"/>
      <c r="D23" s="138">
        <v>10709.0</v>
      </c>
      <c r="E23" s="143">
        <f t="shared" si="7"/>
        <v>0.02</v>
      </c>
      <c r="F23" s="140">
        <f t="shared" si="2"/>
        <v>214.18</v>
      </c>
      <c r="G23" s="38"/>
      <c r="H23" s="38"/>
      <c r="I23" s="38"/>
      <c r="J23" s="38"/>
      <c r="K23" s="38"/>
    </row>
    <row r="24">
      <c r="A24" s="146" t="s">
        <v>48</v>
      </c>
      <c r="B24" s="150" t="s">
        <v>49</v>
      </c>
      <c r="C24" s="151"/>
      <c r="D24" s="138">
        <v>14605.0</v>
      </c>
      <c r="E24" s="139">
        <f>VENTAS!F90</f>
        <v>0.02125</v>
      </c>
      <c r="F24" s="140">
        <f t="shared" si="2"/>
        <v>310.35625</v>
      </c>
      <c r="G24" s="141">
        <f>SUM(F24:F30)</f>
        <v>2320.09625</v>
      </c>
      <c r="H24" s="142">
        <f t="shared" ref="H24:K24" si="8">G24*(1+2%)</f>
        <v>2366.498175</v>
      </c>
      <c r="I24" s="142">
        <f t="shared" si="8"/>
        <v>2413.828139</v>
      </c>
      <c r="J24" s="142">
        <f t="shared" si="8"/>
        <v>2462.104701</v>
      </c>
      <c r="K24" s="142">
        <f t="shared" si="8"/>
        <v>2511.346795</v>
      </c>
    </row>
    <row r="25">
      <c r="A25" s="35"/>
      <c r="B25" s="150" t="s">
        <v>50</v>
      </c>
      <c r="C25" s="151"/>
      <c r="D25" s="138">
        <v>7972.0</v>
      </c>
      <c r="E25" s="143">
        <f t="shared" ref="E25:E30" si="9">E24</f>
        <v>0.02125</v>
      </c>
      <c r="F25" s="140">
        <f t="shared" si="2"/>
        <v>169.405</v>
      </c>
      <c r="G25" s="35"/>
      <c r="H25" s="35"/>
      <c r="I25" s="35"/>
      <c r="J25" s="35"/>
      <c r="K25" s="35"/>
    </row>
    <row r="26">
      <c r="A26" s="35"/>
      <c r="B26" s="150" t="s">
        <v>51</v>
      </c>
      <c r="C26" s="151"/>
      <c r="D26" s="138">
        <v>23362.0</v>
      </c>
      <c r="E26" s="143">
        <f t="shared" si="9"/>
        <v>0.02125</v>
      </c>
      <c r="F26" s="140">
        <f t="shared" si="2"/>
        <v>496.4425</v>
      </c>
      <c r="G26" s="35"/>
      <c r="H26" s="35"/>
      <c r="I26" s="35"/>
      <c r="J26" s="35"/>
      <c r="K26" s="35"/>
    </row>
    <row r="27">
      <c r="A27" s="35"/>
      <c r="B27" s="150" t="s">
        <v>52</v>
      </c>
      <c r="C27" s="151"/>
      <c r="D27" s="138">
        <v>19249.0</v>
      </c>
      <c r="E27" s="143">
        <f t="shared" si="9"/>
        <v>0.02125</v>
      </c>
      <c r="F27" s="140">
        <f t="shared" si="2"/>
        <v>409.04125</v>
      </c>
      <c r="G27" s="35"/>
      <c r="H27" s="35"/>
      <c r="I27" s="35"/>
      <c r="J27" s="35"/>
      <c r="K27" s="35"/>
    </row>
    <row r="28">
      <c r="A28" s="35"/>
      <c r="B28" s="152" t="s">
        <v>159</v>
      </c>
      <c r="C28" s="19"/>
      <c r="D28" s="138">
        <v>11522.0</v>
      </c>
      <c r="E28" s="143">
        <f t="shared" si="9"/>
        <v>0.02125</v>
      </c>
      <c r="F28" s="140">
        <f t="shared" si="2"/>
        <v>244.8425</v>
      </c>
      <c r="G28" s="35"/>
      <c r="H28" s="35"/>
      <c r="I28" s="35"/>
      <c r="J28" s="35"/>
      <c r="K28" s="35"/>
    </row>
    <row r="29">
      <c r="A29" s="35"/>
      <c r="B29" s="150" t="s">
        <v>54</v>
      </c>
      <c r="C29" s="151"/>
      <c r="D29" s="138">
        <v>14060.0</v>
      </c>
      <c r="E29" s="143">
        <f t="shared" si="9"/>
        <v>0.02125</v>
      </c>
      <c r="F29" s="140">
        <f t="shared" si="2"/>
        <v>298.775</v>
      </c>
      <c r="G29" s="35"/>
      <c r="H29" s="35"/>
      <c r="I29" s="35"/>
      <c r="J29" s="35"/>
      <c r="K29" s="35"/>
    </row>
    <row r="30">
      <c r="A30" s="38"/>
      <c r="B30" s="150" t="s">
        <v>55</v>
      </c>
      <c r="C30" s="151"/>
      <c r="D30" s="138">
        <v>18411.0</v>
      </c>
      <c r="E30" s="143">
        <f t="shared" si="9"/>
        <v>0.02125</v>
      </c>
      <c r="F30" s="140">
        <f t="shared" si="2"/>
        <v>391.23375</v>
      </c>
      <c r="G30" s="38"/>
      <c r="H30" s="38"/>
      <c r="I30" s="38"/>
      <c r="J30" s="38"/>
      <c r="K30" s="38"/>
    </row>
    <row r="31">
      <c r="A31" s="146" t="s">
        <v>57</v>
      </c>
      <c r="B31" s="153" t="s">
        <v>56</v>
      </c>
      <c r="C31" s="19"/>
      <c r="D31" s="138">
        <v>11762.0</v>
      </c>
      <c r="E31" s="139">
        <f>VENTAS!F98</f>
        <v>0.02</v>
      </c>
      <c r="F31" s="140">
        <f t="shared" si="2"/>
        <v>235.24</v>
      </c>
      <c r="G31" s="141">
        <f>SUM(F31:F35)</f>
        <v>701.86</v>
      </c>
      <c r="H31" s="142">
        <f t="shared" ref="H31:K31" si="10">G31*(1+2%)</f>
        <v>715.8972</v>
      </c>
      <c r="I31" s="142">
        <f t="shared" si="10"/>
        <v>730.215144</v>
      </c>
      <c r="J31" s="142">
        <f t="shared" si="10"/>
        <v>744.8194469</v>
      </c>
      <c r="K31" s="142">
        <f t="shared" si="10"/>
        <v>759.7158358</v>
      </c>
    </row>
    <row r="32">
      <c r="A32" s="35"/>
      <c r="B32" s="154" t="s">
        <v>58</v>
      </c>
      <c r="C32" s="155"/>
      <c r="D32" s="138">
        <v>3865.0</v>
      </c>
      <c r="E32" s="143">
        <f t="shared" ref="E32:E35" si="11">E31</f>
        <v>0.02</v>
      </c>
      <c r="F32" s="140">
        <f t="shared" si="2"/>
        <v>77.3</v>
      </c>
      <c r="G32" s="35"/>
      <c r="H32" s="35"/>
      <c r="I32" s="35"/>
      <c r="J32" s="35"/>
      <c r="K32" s="35"/>
    </row>
    <row r="33">
      <c r="A33" s="35"/>
      <c r="B33" s="154" t="s">
        <v>59</v>
      </c>
      <c r="C33" s="155"/>
      <c r="D33" s="138">
        <v>5767.0</v>
      </c>
      <c r="E33" s="143">
        <f t="shared" si="11"/>
        <v>0.02</v>
      </c>
      <c r="F33" s="140">
        <f t="shared" si="2"/>
        <v>115.34</v>
      </c>
      <c r="G33" s="35"/>
      <c r="H33" s="35"/>
      <c r="I33" s="35"/>
      <c r="J33" s="35"/>
      <c r="K33" s="35"/>
    </row>
    <row r="34">
      <c r="A34" s="35"/>
      <c r="B34" s="154" t="s">
        <v>60</v>
      </c>
      <c r="C34" s="155"/>
      <c r="D34" s="138">
        <v>8080.0</v>
      </c>
      <c r="E34" s="143">
        <f t="shared" si="11"/>
        <v>0.02</v>
      </c>
      <c r="F34" s="140">
        <f t="shared" si="2"/>
        <v>161.6</v>
      </c>
      <c r="G34" s="35"/>
      <c r="H34" s="35"/>
      <c r="I34" s="35"/>
      <c r="J34" s="35"/>
      <c r="K34" s="35"/>
    </row>
    <row r="35">
      <c r="A35" s="38"/>
      <c r="B35" s="154" t="s">
        <v>61</v>
      </c>
      <c r="C35" s="155"/>
      <c r="D35" s="138">
        <v>5619.0</v>
      </c>
      <c r="E35" s="143">
        <f t="shared" si="11"/>
        <v>0.02</v>
      </c>
      <c r="F35" s="140">
        <f t="shared" si="2"/>
        <v>112.38</v>
      </c>
      <c r="G35" s="38"/>
      <c r="H35" s="38"/>
      <c r="I35" s="38"/>
      <c r="J35" s="38"/>
      <c r="K35" s="38"/>
    </row>
    <row r="36">
      <c r="A36" s="156" t="s">
        <v>62</v>
      </c>
      <c r="B36" s="69" t="s">
        <v>63</v>
      </c>
      <c r="C36" s="19"/>
      <c r="D36" s="157">
        <v>25000.0</v>
      </c>
      <c r="E36" s="139">
        <f>VENTAS!F102</f>
        <v>0.004444444444</v>
      </c>
      <c r="F36" s="158">
        <f t="shared" ref="F36:F53" si="13">D36*E36</f>
        <v>111.1111111</v>
      </c>
      <c r="G36" s="159">
        <f>SUM(F36:F53)</f>
        <v>1837.777778</v>
      </c>
      <c r="H36" s="160">
        <f t="shared" ref="H36:K36" si="12">G36*(1+2%)</f>
        <v>1874.533333</v>
      </c>
      <c r="I36" s="160">
        <f t="shared" si="12"/>
        <v>1912.024</v>
      </c>
      <c r="J36" s="160">
        <f t="shared" si="12"/>
        <v>1950.26448</v>
      </c>
      <c r="K36" s="160">
        <f t="shared" si="12"/>
        <v>1989.26977</v>
      </c>
    </row>
    <row r="37">
      <c r="A37" s="35"/>
      <c r="B37" s="69" t="s">
        <v>64</v>
      </c>
      <c r="C37" s="19"/>
      <c r="D37" s="157">
        <v>14000.0</v>
      </c>
      <c r="E37" s="143">
        <f t="shared" ref="E37:E53" si="14">E36</f>
        <v>0.004444444444</v>
      </c>
      <c r="F37" s="158">
        <f t="shared" si="13"/>
        <v>62.22222222</v>
      </c>
      <c r="G37" s="35"/>
      <c r="H37" s="35"/>
      <c r="I37" s="35"/>
      <c r="J37" s="35"/>
      <c r="K37" s="35"/>
    </row>
    <row r="38">
      <c r="A38" s="35"/>
      <c r="B38" s="71" t="s">
        <v>65</v>
      </c>
      <c r="C38" s="19"/>
      <c r="D38" s="157">
        <v>60000.0</v>
      </c>
      <c r="E38" s="143">
        <f t="shared" si="14"/>
        <v>0.004444444444</v>
      </c>
      <c r="F38" s="158">
        <f t="shared" si="13"/>
        <v>266.6666667</v>
      </c>
      <c r="G38" s="35"/>
      <c r="H38" s="35"/>
      <c r="I38" s="35"/>
      <c r="J38" s="35"/>
      <c r="K38" s="35"/>
    </row>
    <row r="39">
      <c r="A39" s="35"/>
      <c r="B39" s="71" t="s">
        <v>66</v>
      </c>
      <c r="C39" s="19"/>
      <c r="D39" s="157">
        <v>2500.0</v>
      </c>
      <c r="E39" s="143">
        <f t="shared" si="14"/>
        <v>0.004444444444</v>
      </c>
      <c r="F39" s="158">
        <f t="shared" si="13"/>
        <v>11.11111111</v>
      </c>
      <c r="G39" s="35"/>
      <c r="H39" s="35"/>
      <c r="I39" s="35"/>
      <c r="J39" s="35"/>
      <c r="K39" s="35"/>
    </row>
    <row r="40">
      <c r="A40" s="35"/>
      <c r="B40" s="71" t="s">
        <v>67</v>
      </c>
      <c r="C40" s="19"/>
      <c r="D40" s="157">
        <v>18000.0</v>
      </c>
      <c r="E40" s="143">
        <f t="shared" si="14"/>
        <v>0.004444444444</v>
      </c>
      <c r="F40" s="158">
        <f t="shared" si="13"/>
        <v>80</v>
      </c>
      <c r="G40" s="35"/>
      <c r="H40" s="35"/>
      <c r="I40" s="35"/>
      <c r="J40" s="35"/>
      <c r="K40" s="35"/>
    </row>
    <row r="41">
      <c r="A41" s="35"/>
      <c r="B41" s="71" t="s">
        <v>68</v>
      </c>
      <c r="C41" s="19"/>
      <c r="D41" s="157">
        <v>6000.0</v>
      </c>
      <c r="E41" s="143">
        <f t="shared" si="14"/>
        <v>0.004444444444</v>
      </c>
      <c r="F41" s="158">
        <f t="shared" si="13"/>
        <v>26.66666667</v>
      </c>
      <c r="G41" s="35"/>
      <c r="H41" s="35"/>
      <c r="I41" s="35"/>
      <c r="J41" s="35"/>
      <c r="K41" s="35"/>
    </row>
    <row r="42">
      <c r="A42" s="35"/>
      <c r="B42" s="72" t="s">
        <v>69</v>
      </c>
      <c r="C42" s="19"/>
      <c r="D42" s="157">
        <v>2500.0</v>
      </c>
      <c r="E42" s="143">
        <f t="shared" si="14"/>
        <v>0.004444444444</v>
      </c>
      <c r="F42" s="158">
        <f t="shared" si="13"/>
        <v>11.11111111</v>
      </c>
      <c r="G42" s="35"/>
      <c r="H42" s="35"/>
      <c r="I42" s="35"/>
      <c r="J42" s="35"/>
      <c r="K42" s="35"/>
    </row>
    <row r="43">
      <c r="A43" s="35"/>
      <c r="B43" s="69" t="s">
        <v>70</v>
      </c>
      <c r="C43" s="19"/>
      <c r="D43" s="157">
        <v>7000.0</v>
      </c>
      <c r="E43" s="143">
        <f t="shared" si="14"/>
        <v>0.004444444444</v>
      </c>
      <c r="F43" s="158">
        <f t="shared" si="13"/>
        <v>31.11111111</v>
      </c>
      <c r="G43" s="35"/>
      <c r="H43" s="35"/>
      <c r="I43" s="35"/>
      <c r="J43" s="35"/>
      <c r="K43" s="35"/>
    </row>
    <row r="44">
      <c r="A44" s="35"/>
      <c r="B44" s="72" t="s">
        <v>71</v>
      </c>
      <c r="C44" s="19"/>
      <c r="D44" s="157">
        <v>40000.0</v>
      </c>
      <c r="E44" s="143">
        <f t="shared" si="14"/>
        <v>0.004444444444</v>
      </c>
      <c r="F44" s="158">
        <f t="shared" si="13"/>
        <v>177.7777778</v>
      </c>
      <c r="G44" s="35"/>
      <c r="H44" s="35"/>
      <c r="I44" s="35"/>
      <c r="J44" s="35"/>
      <c r="K44" s="35"/>
    </row>
    <row r="45">
      <c r="A45" s="35"/>
      <c r="B45" s="72" t="s">
        <v>72</v>
      </c>
      <c r="C45" s="19"/>
      <c r="D45" s="157">
        <v>7500.0</v>
      </c>
      <c r="E45" s="143">
        <f t="shared" si="14"/>
        <v>0.004444444444</v>
      </c>
      <c r="F45" s="158">
        <f t="shared" si="13"/>
        <v>33.33333333</v>
      </c>
      <c r="G45" s="35"/>
      <c r="H45" s="35"/>
      <c r="I45" s="35"/>
      <c r="J45" s="35"/>
      <c r="K45" s="35"/>
    </row>
    <row r="46">
      <c r="A46" s="35"/>
      <c r="B46" s="69" t="s">
        <v>73</v>
      </c>
      <c r="C46" s="19"/>
      <c r="D46" s="157">
        <v>13000.0</v>
      </c>
      <c r="E46" s="143">
        <f t="shared" si="14"/>
        <v>0.004444444444</v>
      </c>
      <c r="F46" s="158">
        <f t="shared" si="13"/>
        <v>57.77777778</v>
      </c>
      <c r="G46" s="35"/>
      <c r="H46" s="35"/>
      <c r="I46" s="35"/>
      <c r="J46" s="35"/>
      <c r="K46" s="35"/>
    </row>
    <row r="47">
      <c r="A47" s="35"/>
      <c r="B47" s="69" t="s">
        <v>74</v>
      </c>
      <c r="C47" s="19"/>
      <c r="D47" s="157">
        <v>8000.0</v>
      </c>
      <c r="E47" s="143">
        <f t="shared" si="14"/>
        <v>0.004444444444</v>
      </c>
      <c r="F47" s="158">
        <f t="shared" si="13"/>
        <v>35.55555556</v>
      </c>
      <c r="G47" s="35"/>
      <c r="H47" s="35"/>
      <c r="I47" s="35"/>
      <c r="J47" s="35"/>
      <c r="K47" s="35"/>
    </row>
    <row r="48">
      <c r="A48" s="35"/>
      <c r="B48" s="69" t="s">
        <v>75</v>
      </c>
      <c r="C48" s="19"/>
      <c r="D48" s="157">
        <v>60000.0</v>
      </c>
      <c r="E48" s="143">
        <f t="shared" si="14"/>
        <v>0.004444444444</v>
      </c>
      <c r="F48" s="158">
        <f t="shared" si="13"/>
        <v>266.6666667</v>
      </c>
      <c r="G48" s="35"/>
      <c r="H48" s="35"/>
      <c r="I48" s="35"/>
      <c r="J48" s="35"/>
      <c r="K48" s="35"/>
    </row>
    <row r="49">
      <c r="A49" s="35"/>
      <c r="B49" s="69" t="s">
        <v>76</v>
      </c>
      <c r="C49" s="19"/>
      <c r="D49" s="157">
        <v>6000.0</v>
      </c>
      <c r="E49" s="143">
        <f t="shared" si="14"/>
        <v>0.004444444444</v>
      </c>
      <c r="F49" s="158">
        <f t="shared" si="13"/>
        <v>26.66666667</v>
      </c>
      <c r="G49" s="35"/>
      <c r="H49" s="35"/>
      <c r="I49" s="35"/>
      <c r="J49" s="35"/>
      <c r="K49" s="35"/>
    </row>
    <row r="50">
      <c r="A50" s="35"/>
      <c r="B50" s="69" t="s">
        <v>77</v>
      </c>
      <c r="C50" s="19"/>
      <c r="D50" s="157">
        <v>4000.0</v>
      </c>
      <c r="E50" s="143">
        <f t="shared" si="14"/>
        <v>0.004444444444</v>
      </c>
      <c r="F50" s="158">
        <f t="shared" si="13"/>
        <v>17.77777778</v>
      </c>
      <c r="G50" s="35"/>
      <c r="H50" s="35"/>
      <c r="I50" s="35"/>
      <c r="J50" s="35"/>
      <c r="K50" s="35"/>
    </row>
    <row r="51">
      <c r="A51" s="35"/>
      <c r="B51" s="69" t="s">
        <v>78</v>
      </c>
      <c r="C51" s="19"/>
      <c r="D51" s="157">
        <v>30000.0</v>
      </c>
      <c r="E51" s="143">
        <f t="shared" si="14"/>
        <v>0.004444444444</v>
      </c>
      <c r="F51" s="158">
        <f t="shared" si="13"/>
        <v>133.3333333</v>
      </c>
      <c r="G51" s="35"/>
      <c r="H51" s="35"/>
      <c r="I51" s="35"/>
      <c r="J51" s="35"/>
      <c r="K51" s="35"/>
    </row>
    <row r="52">
      <c r="A52" s="35"/>
      <c r="B52" s="69" t="s">
        <v>79</v>
      </c>
      <c r="C52" s="19"/>
      <c r="D52" s="157">
        <v>45000.0</v>
      </c>
      <c r="E52" s="143">
        <f t="shared" si="14"/>
        <v>0.004444444444</v>
      </c>
      <c r="F52" s="158">
        <f t="shared" si="13"/>
        <v>200</v>
      </c>
      <c r="G52" s="35"/>
      <c r="H52" s="35"/>
      <c r="I52" s="35"/>
      <c r="J52" s="35"/>
      <c r="K52" s="35"/>
    </row>
    <row r="53">
      <c r="A53" s="38"/>
      <c r="B53" s="69" t="s">
        <v>80</v>
      </c>
      <c r="C53" s="19"/>
      <c r="D53" s="157">
        <v>65000.0</v>
      </c>
      <c r="E53" s="143">
        <f t="shared" si="14"/>
        <v>0.004444444444</v>
      </c>
      <c r="F53" s="158">
        <f t="shared" si="13"/>
        <v>288.8888889</v>
      </c>
      <c r="G53" s="38"/>
      <c r="H53" s="38"/>
      <c r="I53" s="38"/>
      <c r="J53" s="38"/>
      <c r="K53" s="38"/>
    </row>
    <row r="54">
      <c r="G54" s="73">
        <f t="shared" ref="G54:K54" si="15">SUM(G8:G53)</f>
        <v>11383.52546</v>
      </c>
      <c r="H54" s="73">
        <f t="shared" si="15"/>
        <v>11611.19597</v>
      </c>
      <c r="I54" s="73">
        <f t="shared" si="15"/>
        <v>11843.41988</v>
      </c>
      <c r="J54" s="73">
        <f t="shared" si="15"/>
        <v>12080.28828</v>
      </c>
      <c r="K54" s="73">
        <f t="shared" si="15"/>
        <v>12321.89405</v>
      </c>
    </row>
    <row r="58">
      <c r="B58" s="17" t="s">
        <v>160</v>
      </c>
      <c r="C58" s="18"/>
      <c r="D58" s="18"/>
      <c r="E58" s="18"/>
      <c r="F58" s="18"/>
      <c r="G58" s="18"/>
      <c r="H58" s="18"/>
      <c r="I58" s="18"/>
      <c r="J58" s="18"/>
      <c r="K58" s="18"/>
      <c r="L58" s="18"/>
      <c r="M58" s="19"/>
    </row>
    <row r="59">
      <c r="A59" s="14"/>
      <c r="B59" s="15" t="s">
        <v>1</v>
      </c>
      <c r="C59" s="16" t="s">
        <v>2</v>
      </c>
      <c r="D59" s="16" t="s">
        <v>3</v>
      </c>
      <c r="E59" s="16" t="s">
        <v>4</v>
      </c>
      <c r="F59" s="16" t="s">
        <v>5</v>
      </c>
      <c r="G59" s="16" t="s">
        <v>6</v>
      </c>
      <c r="H59" s="16" t="s">
        <v>7</v>
      </c>
      <c r="I59" s="16" t="s">
        <v>8</v>
      </c>
      <c r="J59" s="16" t="s">
        <v>9</v>
      </c>
      <c r="K59" s="16" t="s">
        <v>10</v>
      </c>
      <c r="L59" s="16" t="s">
        <v>11</v>
      </c>
      <c r="M59" s="16" t="s">
        <v>12</v>
      </c>
      <c r="N59" s="2" t="s">
        <v>82</v>
      </c>
    </row>
    <row r="60">
      <c r="A60" s="75" t="s">
        <v>83</v>
      </c>
      <c r="B60" s="59">
        <f>VENTAS!D46*$G$8</f>
        <v>25595735.87</v>
      </c>
      <c r="C60" s="59">
        <f>VENTAS!E46*$G$8</f>
        <v>17574645.51</v>
      </c>
      <c r="D60" s="59">
        <f>VENTAS!F46*$G$8</f>
        <v>20764035.75</v>
      </c>
      <c r="E60" s="59">
        <f>VENTAS!G46*$G$8</f>
        <v>23099443.11</v>
      </c>
      <c r="F60" s="59">
        <f>VENTAS!H46*$G$8</f>
        <v>20676228.18</v>
      </c>
      <c r="G60" s="59">
        <f>VENTAS!I46*$G$8</f>
        <v>24223471.38</v>
      </c>
      <c r="H60" s="59">
        <f>VENTAS!J46*$G$8</f>
        <v>24465884.22</v>
      </c>
      <c r="I60" s="59">
        <f>VENTAS!K46*$G$8</f>
        <v>22380197.48</v>
      </c>
      <c r="J60" s="59">
        <f>VENTAS!L46*$G$8</f>
        <v>20790183.91</v>
      </c>
      <c r="K60" s="59">
        <f>VENTAS!M46*$G$8</f>
        <v>20655446.67</v>
      </c>
      <c r="L60" s="59">
        <f>VENTAS!N46*$G$8</f>
        <v>21215405.49</v>
      </c>
      <c r="M60" s="59">
        <f>VENTAS!O46*$G$8</f>
        <v>26166770.55</v>
      </c>
      <c r="N60" s="76">
        <f t="shared" ref="N60:N65" si="16">SUM(B60:M60)</f>
        <v>267607448.1</v>
      </c>
    </row>
    <row r="61">
      <c r="A61" s="77" t="s">
        <v>37</v>
      </c>
      <c r="B61" s="59">
        <f>VENTAS!D46*$G$15</f>
        <v>15871020.43</v>
      </c>
      <c r="C61" s="59">
        <f>VENTAS!E46*$G$15</f>
        <v>10897422.89</v>
      </c>
      <c r="D61" s="59">
        <f>VENTAS!F46*$G$15</f>
        <v>12875052.2</v>
      </c>
      <c r="E61" s="59">
        <f>VENTAS!G46*$G$15</f>
        <v>14323156.61</v>
      </c>
      <c r="F61" s="59">
        <f>VENTAS!H46*$G$15</f>
        <v>12820605.8</v>
      </c>
      <c r="G61" s="59">
        <f>VENTAS!I46*$G$15</f>
        <v>15020127.22</v>
      </c>
      <c r="H61" s="59">
        <f>VENTAS!J46*$G$15</f>
        <v>15170438.94</v>
      </c>
      <c r="I61" s="59">
        <f>VENTAS!K46*$G$15</f>
        <v>13877177.55</v>
      </c>
      <c r="J61" s="59">
        <f>VENTAS!L46*$G$15</f>
        <v>12891265.76</v>
      </c>
      <c r="K61" s="59">
        <f>VENTAS!M46*$G$15</f>
        <v>12807719.91</v>
      </c>
      <c r="L61" s="59">
        <f>VENTAS!N46*$G$15</f>
        <v>13154930.79</v>
      </c>
      <c r="M61" s="59">
        <f>VENTAS!O46*$G$15</f>
        <v>16225099.05</v>
      </c>
      <c r="N61" s="76">
        <f t="shared" si="16"/>
        <v>165934017.1</v>
      </c>
    </row>
    <row r="62">
      <c r="A62" s="2" t="s">
        <v>43</v>
      </c>
      <c r="B62" s="59">
        <f>VENTAS!D46*$G$20</f>
        <v>5468523.403</v>
      </c>
      <c r="C62" s="59">
        <f>VENTAS!E46*$G$20</f>
        <v>3754819.191</v>
      </c>
      <c r="D62" s="59">
        <f>VENTAS!F46*$G$20</f>
        <v>4436231.722</v>
      </c>
      <c r="E62" s="59">
        <f>VENTAS!G46*$G$20</f>
        <v>4935190.997</v>
      </c>
      <c r="F62" s="59">
        <f>VENTAS!H46*$G$20</f>
        <v>4417471.653</v>
      </c>
      <c r="G62" s="59">
        <f>VENTAS!I46*$G$20</f>
        <v>5175339.392</v>
      </c>
      <c r="H62" s="59">
        <f>VENTAS!J46*$G$20</f>
        <v>5227130.843</v>
      </c>
      <c r="I62" s="59">
        <f>VENTAS!K46*$G$20</f>
        <v>4781524.324</v>
      </c>
      <c r="J62" s="59">
        <f>VENTAS!L46*$G$20</f>
        <v>4441818.27</v>
      </c>
      <c r="K62" s="59">
        <f>VENTAS!M46*$G$20</f>
        <v>4413031.689</v>
      </c>
      <c r="L62" s="59">
        <f>VENTAS!N46*$G$20</f>
        <v>4532666.769</v>
      </c>
      <c r="M62" s="59">
        <f>VENTAS!O46*$G$20</f>
        <v>5590524.837</v>
      </c>
      <c r="N62" s="76">
        <f t="shared" si="16"/>
        <v>57174273.09</v>
      </c>
    </row>
    <row r="63">
      <c r="A63" s="2" t="s">
        <v>48</v>
      </c>
      <c r="B63" s="59">
        <f>VENTAS!D46*$G$24</f>
        <v>16691883.49</v>
      </c>
      <c r="C63" s="59">
        <f>VENTAS!E46*$G$24</f>
        <v>11461047.13</v>
      </c>
      <c r="D63" s="59">
        <f>VENTAS!F46*$G$24</f>
        <v>13540961.17</v>
      </c>
      <c r="E63" s="59">
        <f>VENTAS!G46*$G$24</f>
        <v>15063962.8</v>
      </c>
      <c r="F63" s="59">
        <f>VENTAS!H46*$G$24</f>
        <v>13483698.75</v>
      </c>
      <c r="G63" s="59">
        <f>VENTAS!I46*$G$24</f>
        <v>15796981.34</v>
      </c>
      <c r="H63" s="59">
        <f>VENTAS!J46*$G$24</f>
        <v>15955067.31</v>
      </c>
      <c r="I63" s="59">
        <f>VENTAS!K46*$G$24</f>
        <v>14594917.32</v>
      </c>
      <c r="J63" s="59">
        <f>VENTAS!L46*$G$24</f>
        <v>13558013.3</v>
      </c>
      <c r="K63" s="59">
        <f>VENTAS!M46*$G$24</f>
        <v>13470146.39</v>
      </c>
      <c r="L63" s="59">
        <f>VENTAS!N46*$G$24</f>
        <v>13835315.32</v>
      </c>
      <c r="M63" s="59">
        <f>VENTAS!O46*$G$24</f>
        <v>17064275.37</v>
      </c>
      <c r="N63" s="76">
        <f t="shared" si="16"/>
        <v>174516269.7</v>
      </c>
    </row>
    <row r="64">
      <c r="A64" s="2" t="s">
        <v>57</v>
      </c>
      <c r="B64" s="59">
        <f>VENTAS!D46*$G$31</f>
        <v>5049516.952</v>
      </c>
      <c r="C64" s="59">
        <f>VENTAS!E46*$G$31</f>
        <v>3467119.323</v>
      </c>
      <c r="D64" s="59">
        <f>VENTAS!F46*$G$31</f>
        <v>4096321.005</v>
      </c>
      <c r="E64" s="59">
        <f>VENTAS!G46*$G$31</f>
        <v>4557049.274</v>
      </c>
      <c r="F64" s="59">
        <f>VENTAS!H46*$G$31</f>
        <v>4078998.361</v>
      </c>
      <c r="G64" s="59">
        <f>VENTAS!I46*$G$31</f>
        <v>4778797.139</v>
      </c>
      <c r="H64" s="59">
        <f>VENTAS!J46*$G$31</f>
        <v>4826620.251</v>
      </c>
      <c r="I64" s="59">
        <f>VENTAS!K46*$G$31</f>
        <v>4415156.771</v>
      </c>
      <c r="J64" s="59">
        <f>VENTAS!L46*$G$31</f>
        <v>4101479.504</v>
      </c>
      <c r="K64" s="59">
        <f>VENTAS!M46*$G$31</f>
        <v>4074898.594</v>
      </c>
      <c r="L64" s="59">
        <f>VENTAS!N46*$G$31</f>
        <v>4185367.055</v>
      </c>
      <c r="M64" s="59">
        <f>VENTAS!O46*$G$31</f>
        <v>5162170.454</v>
      </c>
      <c r="N64" s="76">
        <f t="shared" si="16"/>
        <v>52793494.69</v>
      </c>
    </row>
    <row r="65">
      <c r="A65" s="2" t="s">
        <v>62</v>
      </c>
      <c r="B65" s="78">
        <f>VENTAS!D46*$G$36</f>
        <v>13221853.42</v>
      </c>
      <c r="C65" s="78">
        <f>VENTAS!E46*$G$36</f>
        <v>9078441.349</v>
      </c>
      <c r="D65" s="78">
        <f>VENTAS!F46*$G$36</f>
        <v>10725967.73</v>
      </c>
      <c r="E65" s="78">
        <f>VENTAS!G46*$G$36</f>
        <v>11932356.72</v>
      </c>
      <c r="F65" s="78">
        <f>VENTAS!H46*$G$36</f>
        <v>10680609.44</v>
      </c>
      <c r="G65" s="78">
        <f>VENTAS!I46*$G$36</f>
        <v>12512990.04</v>
      </c>
      <c r="H65" s="78">
        <f>VENTAS!J46*$G$36</f>
        <v>12638211.95</v>
      </c>
      <c r="I65" s="78">
        <f>VENTAS!K46*$G$36</f>
        <v>11560819.82</v>
      </c>
      <c r="J65" s="78">
        <f>VENTAS!L46*$G$36</f>
        <v>10739474.95</v>
      </c>
      <c r="K65" s="78">
        <f>VENTAS!M46*$G$36</f>
        <v>10669874.45</v>
      </c>
      <c r="L65" s="78">
        <f>VENTAS!N46*$G$36</f>
        <v>10959129.41</v>
      </c>
      <c r="M65" s="78">
        <f>VENTAS!O46*$G$36</f>
        <v>13516829.77</v>
      </c>
      <c r="N65" s="76">
        <f t="shared" si="16"/>
        <v>138236559.1</v>
      </c>
      <c r="O65" s="79">
        <f>SUM(N60:N65)</f>
        <v>856262061.8</v>
      </c>
    </row>
    <row r="68">
      <c r="B68" s="17" t="s">
        <v>161</v>
      </c>
      <c r="C68" s="18"/>
      <c r="D68" s="18"/>
      <c r="E68" s="18"/>
      <c r="F68" s="18"/>
      <c r="G68" s="18"/>
      <c r="H68" s="18"/>
      <c r="I68" s="18"/>
      <c r="J68" s="18"/>
      <c r="K68" s="18"/>
      <c r="L68" s="18"/>
      <c r="M68" s="19"/>
    </row>
    <row r="69">
      <c r="A69" s="14"/>
      <c r="B69" s="15" t="s">
        <v>1</v>
      </c>
      <c r="C69" s="16" t="s">
        <v>2</v>
      </c>
      <c r="D69" s="16" t="s">
        <v>3</v>
      </c>
      <c r="E69" s="16" t="s">
        <v>4</v>
      </c>
      <c r="F69" s="16" t="s">
        <v>5</v>
      </c>
      <c r="G69" s="16" t="s">
        <v>6</v>
      </c>
      <c r="H69" s="16" t="s">
        <v>7</v>
      </c>
      <c r="I69" s="16" t="s">
        <v>8</v>
      </c>
      <c r="J69" s="16" t="s">
        <v>9</v>
      </c>
      <c r="K69" s="16" t="s">
        <v>10</v>
      </c>
      <c r="L69" s="16" t="s">
        <v>11</v>
      </c>
      <c r="M69" s="16" t="s">
        <v>12</v>
      </c>
      <c r="N69" s="2" t="s">
        <v>82</v>
      </c>
      <c r="P69" s="74">
        <v>0.166666667</v>
      </c>
    </row>
    <row r="70">
      <c r="A70" s="75" t="s">
        <v>83</v>
      </c>
      <c r="B70" s="59">
        <f>VENTAS!D47*$H$8</f>
        <v>26107650.59</v>
      </c>
      <c r="C70" s="59">
        <f>VENTAS!E47*$H$8</f>
        <v>17926138.42</v>
      </c>
      <c r="D70" s="59">
        <f>VENTAS!F47*$H$8</f>
        <v>21179316.46</v>
      </c>
      <c r="E70" s="59">
        <f>VENTAS!G47*$H$8</f>
        <v>23561431.97</v>
      </c>
      <c r="F70" s="59">
        <f>VENTAS!H47*$H$8</f>
        <v>21089752.74</v>
      </c>
      <c r="G70" s="59">
        <f>VENTAS!I47*$H$8</f>
        <v>24707940.81</v>
      </c>
      <c r="H70" s="59">
        <f>VENTAS!J47*$H$8</f>
        <v>24955201.9</v>
      </c>
      <c r="I70" s="59">
        <f>VENTAS!K47*$H$8</f>
        <v>22827801.43</v>
      </c>
      <c r="J70" s="59">
        <f>VENTAS!L47*$H$8</f>
        <v>21205987.58</v>
      </c>
      <c r="K70" s="59">
        <f>VENTAS!M47*$H$8</f>
        <v>21068555.6</v>
      </c>
      <c r="L70" s="59">
        <f>VENTAS!N47*$H$8</f>
        <v>21639713.6</v>
      </c>
      <c r="M70" s="59">
        <f>VENTAS!O47*$H$8</f>
        <v>26690105.96</v>
      </c>
      <c r="N70" s="76">
        <f t="shared" ref="N70:N75" si="17">SUM(B70:M70)</f>
        <v>272959597.1</v>
      </c>
      <c r="P70" s="161">
        <f>P69*12</f>
        <v>2.000000004</v>
      </c>
    </row>
    <row r="71">
      <c r="A71" s="77" t="s">
        <v>37</v>
      </c>
      <c r="B71" s="59">
        <f>VENTAS!D47*$H$15</f>
        <v>16188440.84</v>
      </c>
      <c r="C71" s="59">
        <f>VENTAS!E47*$H$15</f>
        <v>11115371.34</v>
      </c>
      <c r="D71" s="59">
        <f>VENTAS!F47*$H$15</f>
        <v>13132553.25</v>
      </c>
      <c r="E71" s="59">
        <f>VENTAS!G47*$H$15</f>
        <v>14609619.74</v>
      </c>
      <c r="F71" s="59">
        <f>VENTAS!H47*$H$15</f>
        <v>13077017.91</v>
      </c>
      <c r="G71" s="59">
        <f>VENTAS!I47*$H$15</f>
        <v>15320529.76</v>
      </c>
      <c r="H71" s="59">
        <f>VENTAS!J47*$H$15</f>
        <v>15473847.72</v>
      </c>
      <c r="I71" s="59">
        <f>VENTAS!K47*$H$15</f>
        <v>14154721.1</v>
      </c>
      <c r="J71" s="59">
        <f>VENTAS!L47*$H$15</f>
        <v>13149091.07</v>
      </c>
      <c r="K71" s="59">
        <f>VENTAS!M47*$H$15</f>
        <v>13063874.31</v>
      </c>
      <c r="L71" s="59">
        <f>VENTAS!N47*$H$15</f>
        <v>13418029.4</v>
      </c>
      <c r="M71" s="59">
        <f>VENTAS!O47*$H$15</f>
        <v>16549601.03</v>
      </c>
      <c r="N71" s="76">
        <f t="shared" si="17"/>
        <v>169252697.5</v>
      </c>
    </row>
    <row r="72">
      <c r="A72" s="2" t="s">
        <v>43</v>
      </c>
      <c r="B72" s="59">
        <f>VENTAS!D47*$H$20</f>
        <v>5577893.871</v>
      </c>
      <c r="C72" s="59">
        <f>VENTAS!E47*$H$20</f>
        <v>3829915.575</v>
      </c>
      <c r="D72" s="59">
        <f>VENTAS!F47*$H$20</f>
        <v>4524956.356</v>
      </c>
      <c r="E72" s="59">
        <f>VENTAS!G47*$H$20</f>
        <v>5033894.817</v>
      </c>
      <c r="F72" s="59">
        <f>VENTAS!H47*$H$20</f>
        <v>4505821.086</v>
      </c>
      <c r="G72" s="59">
        <f>VENTAS!I47*$H$20</f>
        <v>5278846.18</v>
      </c>
      <c r="H72" s="59">
        <f>VENTAS!J47*$H$20</f>
        <v>5331673.459</v>
      </c>
      <c r="I72" s="59">
        <f>VENTAS!K47*$H$20</f>
        <v>4877154.81</v>
      </c>
      <c r="J72" s="59">
        <f>VENTAS!L47*$H$20</f>
        <v>4530654.636</v>
      </c>
      <c r="K72" s="59">
        <f>VENTAS!M47*$H$20</f>
        <v>4501292.323</v>
      </c>
      <c r="L72" s="59">
        <f>VENTAS!N47*$H$20</f>
        <v>4623320.104</v>
      </c>
      <c r="M72" s="59">
        <f>VENTAS!O47*$H$20</f>
        <v>5702335.334</v>
      </c>
      <c r="N72" s="76">
        <f t="shared" si="17"/>
        <v>58317758.55</v>
      </c>
    </row>
    <row r="73">
      <c r="A73" s="2" t="s">
        <v>48</v>
      </c>
      <c r="B73" s="59">
        <f>VENTAS!D47*$H$24</f>
        <v>17025721.16</v>
      </c>
      <c r="C73" s="59">
        <f>VENTAS!E47*$H$24</f>
        <v>11690268.07</v>
      </c>
      <c r="D73" s="59">
        <f>VENTAS!F47*$H$24</f>
        <v>13811780.39</v>
      </c>
      <c r="E73" s="59">
        <f>VENTAS!G47*$H$24</f>
        <v>15365242.06</v>
      </c>
      <c r="F73" s="59">
        <f>VENTAS!H47*$H$24</f>
        <v>13753372.72</v>
      </c>
      <c r="G73" s="59">
        <f>VENTAS!I47*$H$24</f>
        <v>16112920.97</v>
      </c>
      <c r="H73" s="59">
        <f>VENTAS!J47*$H$24</f>
        <v>16274168.66</v>
      </c>
      <c r="I73" s="59">
        <f>VENTAS!K47*$H$24</f>
        <v>14886815.66</v>
      </c>
      <c r="J73" s="59">
        <f>VENTAS!L47*$H$24</f>
        <v>13829173.57</v>
      </c>
      <c r="K73" s="59">
        <f>VENTAS!M47*$H$24</f>
        <v>13739549.32</v>
      </c>
      <c r="L73" s="59">
        <f>VENTAS!N47*$H$24</f>
        <v>14112021.62</v>
      </c>
      <c r="M73" s="59">
        <f>VENTAS!O47*$H$24</f>
        <v>17405560.88</v>
      </c>
      <c r="N73" s="76">
        <f t="shared" si="17"/>
        <v>178006595.1</v>
      </c>
    </row>
    <row r="74">
      <c r="A74" s="2" t="s">
        <v>57</v>
      </c>
      <c r="B74" s="59">
        <f>VENTAS!D47*$H$31</f>
        <v>5150507.291</v>
      </c>
      <c r="C74" s="59">
        <f>VENTAS!E47*$H$31</f>
        <v>3536461.71</v>
      </c>
      <c r="D74" s="59">
        <f>VENTAS!F47*$H$31</f>
        <v>4178247.426</v>
      </c>
      <c r="E74" s="59">
        <f>VENTAS!G47*$H$31</f>
        <v>4648190.26</v>
      </c>
      <c r="F74" s="59">
        <f>VENTAS!H47*$H$31</f>
        <v>4160578.329</v>
      </c>
      <c r="G74" s="59">
        <f>VENTAS!I47*$H$31</f>
        <v>4874373.082</v>
      </c>
      <c r="H74" s="59">
        <f>VENTAS!J47*$H$31</f>
        <v>4923152.656</v>
      </c>
      <c r="I74" s="59">
        <f>VENTAS!K47*$H$31</f>
        <v>4503459.907</v>
      </c>
      <c r="J74" s="59">
        <f>VENTAS!L47*$H$31</f>
        <v>4183509.094</v>
      </c>
      <c r="K74" s="59">
        <f>VENTAS!M47*$H$31</f>
        <v>4156396.566</v>
      </c>
      <c r="L74" s="59">
        <f>VENTAS!N47*$H$31</f>
        <v>4269074.396</v>
      </c>
      <c r="M74" s="59">
        <f>VENTAS!O47*$H$31</f>
        <v>5265413.863</v>
      </c>
      <c r="N74" s="76">
        <f t="shared" si="17"/>
        <v>53849364.58</v>
      </c>
    </row>
    <row r="75">
      <c r="A75" s="2" t="s">
        <v>62</v>
      </c>
      <c r="B75" s="78">
        <f>VENTAS!D47*$H$36</f>
        <v>13486290.49</v>
      </c>
      <c r="C75" s="78">
        <f>VENTAS!E47*$H$36</f>
        <v>9260010.176</v>
      </c>
      <c r="D75" s="78">
        <f>VENTAS!F47*$H$36</f>
        <v>10940487.09</v>
      </c>
      <c r="E75" s="78">
        <f>VENTAS!G47*$H$36</f>
        <v>12171003.86</v>
      </c>
      <c r="F75" s="78">
        <f>VENTAS!H47*$H$36</f>
        <v>10894221.63</v>
      </c>
      <c r="G75" s="78">
        <f>VENTAS!I47*$H$36</f>
        <v>12763249.84</v>
      </c>
      <c r="H75" s="78">
        <f>VENTAS!J47*$H$36</f>
        <v>12890976.19</v>
      </c>
      <c r="I75" s="78">
        <f>VENTAS!K47*$H$36</f>
        <v>11792036.22</v>
      </c>
      <c r="J75" s="78">
        <f>VENTAS!L47*$H$36</f>
        <v>10954264.45</v>
      </c>
      <c r="K75" s="78">
        <f>VENTAS!M47*$H$36</f>
        <v>10883271.94</v>
      </c>
      <c r="L75" s="78">
        <f>VENTAS!N47*$H$36</f>
        <v>11178311.99</v>
      </c>
      <c r="M75" s="78">
        <f>VENTAS!O47*$H$36</f>
        <v>13787166.37</v>
      </c>
      <c r="N75" s="76">
        <f t="shared" si="17"/>
        <v>141001290.2</v>
      </c>
      <c r="O75" s="79">
        <f>SUM(N70:N75)</f>
        <v>873387303</v>
      </c>
    </row>
    <row r="78">
      <c r="B78" s="17" t="s">
        <v>162</v>
      </c>
      <c r="C78" s="18"/>
      <c r="D78" s="18"/>
      <c r="E78" s="18"/>
      <c r="F78" s="18"/>
      <c r="G78" s="18"/>
      <c r="H78" s="18"/>
      <c r="I78" s="18"/>
      <c r="J78" s="18"/>
      <c r="K78" s="18"/>
      <c r="L78" s="18"/>
      <c r="M78" s="19"/>
    </row>
    <row r="79">
      <c r="A79" s="14"/>
      <c r="B79" s="15" t="s">
        <v>1</v>
      </c>
      <c r="C79" s="16" t="s">
        <v>2</v>
      </c>
      <c r="D79" s="16" t="s">
        <v>3</v>
      </c>
      <c r="E79" s="16" t="s">
        <v>4</v>
      </c>
      <c r="F79" s="16" t="s">
        <v>5</v>
      </c>
      <c r="G79" s="16" t="s">
        <v>6</v>
      </c>
      <c r="H79" s="16" t="s">
        <v>7</v>
      </c>
      <c r="I79" s="16" t="s">
        <v>8</v>
      </c>
      <c r="J79" s="16" t="s">
        <v>9</v>
      </c>
      <c r="K79" s="16" t="s">
        <v>10</v>
      </c>
      <c r="L79" s="16" t="s">
        <v>11</v>
      </c>
      <c r="M79" s="16" t="s">
        <v>12</v>
      </c>
      <c r="N79" s="2" t="s">
        <v>82</v>
      </c>
    </row>
    <row r="80">
      <c r="A80" s="75" t="s">
        <v>83</v>
      </c>
      <c r="B80" s="59">
        <f>VENTAS!D48*$I$8</f>
        <v>26629803.6</v>
      </c>
      <c r="C80" s="59">
        <f>VENTAS!E48*$I$8</f>
        <v>18284661.19</v>
      </c>
      <c r="D80" s="59">
        <f>VENTAS!F48*$I$8</f>
        <v>21602902.79</v>
      </c>
      <c r="E80" s="59">
        <f>VENTAS!G48*$I$8</f>
        <v>24032660.61</v>
      </c>
      <c r="F80" s="59">
        <f>VENTAS!H48*$I$8</f>
        <v>21511547.79</v>
      </c>
      <c r="G80" s="59">
        <f>VENTAS!I48*$I$8</f>
        <v>25202099.62</v>
      </c>
      <c r="H80" s="59">
        <f>VENTAS!J48*$I$8</f>
        <v>25454305.94</v>
      </c>
      <c r="I80" s="59">
        <f>VENTAS!K48*$I$8</f>
        <v>23284357.45</v>
      </c>
      <c r="J80" s="59">
        <f>VENTAS!L48*$I$8</f>
        <v>21630107.34</v>
      </c>
      <c r="K80" s="59">
        <f>VENTAS!M48*$I$8</f>
        <v>21489926.72</v>
      </c>
      <c r="L80" s="59">
        <f>VENTAS!N48*$I$8</f>
        <v>22072507.87</v>
      </c>
      <c r="M80" s="59">
        <f>VENTAS!O48*$G$8</f>
        <v>26166770.55</v>
      </c>
      <c r="N80" s="76">
        <f t="shared" ref="N80:N85" si="18">SUM(B80:M80)</f>
        <v>277361651.5</v>
      </c>
    </row>
    <row r="81">
      <c r="A81" s="77" t="s">
        <v>37</v>
      </c>
      <c r="B81" s="59">
        <f>VENTAS!D48*$I$15</f>
        <v>16512209.65</v>
      </c>
      <c r="C81" s="59">
        <f>VENTAS!E48*$I$15</f>
        <v>11337678.77</v>
      </c>
      <c r="D81" s="59">
        <f>VENTAS!F48*$I$15</f>
        <v>13395204.31</v>
      </c>
      <c r="E81" s="59">
        <f>VENTAS!G48*$I$15</f>
        <v>14901812.14</v>
      </c>
      <c r="F81" s="59">
        <f>VENTAS!H48*$I$15</f>
        <v>13338558.27</v>
      </c>
      <c r="G81" s="59">
        <f>VENTAS!I48*$I$15</f>
        <v>15626940.36</v>
      </c>
      <c r="H81" s="59">
        <f>VENTAS!J48*$I$15</f>
        <v>15783324.67</v>
      </c>
      <c r="I81" s="59">
        <f>VENTAS!K48*$I$15</f>
        <v>14437815.53</v>
      </c>
      <c r="J81" s="59">
        <f>VENTAS!L48*$I$15</f>
        <v>13412072.9</v>
      </c>
      <c r="K81" s="59">
        <f>VENTAS!M48*$I$15</f>
        <v>13325151.8</v>
      </c>
      <c r="L81" s="59">
        <f>VENTAS!N48*$I$15</f>
        <v>13686389.99</v>
      </c>
      <c r="M81" s="59">
        <f>VENTAS!O48*$I$15</f>
        <v>16880593.06</v>
      </c>
      <c r="N81" s="76">
        <f t="shared" si="18"/>
        <v>172637751.4</v>
      </c>
    </row>
    <row r="82">
      <c r="A82" s="2" t="s">
        <v>43</v>
      </c>
      <c r="B82" s="59">
        <f>VENTAS!D48*$I$20</f>
        <v>5689451.748</v>
      </c>
      <c r="C82" s="59">
        <f>VENTAS!E48*$I$20</f>
        <v>3906513.886</v>
      </c>
      <c r="D82" s="59">
        <f>VENTAS!F48*$I$20</f>
        <v>4615455.483</v>
      </c>
      <c r="E82" s="59">
        <f>VENTAS!G48*$I$20</f>
        <v>5134572.714</v>
      </c>
      <c r="F82" s="59">
        <f>VENTAS!H48*$I$20</f>
        <v>4595937.508</v>
      </c>
      <c r="G82" s="59">
        <f>VENTAS!I48*$I$20</f>
        <v>5384423.103</v>
      </c>
      <c r="H82" s="59">
        <f>VENTAS!J48*$I$20</f>
        <v>5438306.929</v>
      </c>
      <c r="I82" s="59">
        <f>VENTAS!K48*$I$20</f>
        <v>4974697.906</v>
      </c>
      <c r="J82" s="59">
        <f>VENTAS!L48*$I$20</f>
        <v>4621267.728</v>
      </c>
      <c r="K82" s="59">
        <f>VENTAS!M48*$I$20</f>
        <v>4591318.169</v>
      </c>
      <c r="L82" s="59">
        <f>VENTAS!N48*$I$20</f>
        <v>4715786.506</v>
      </c>
      <c r="M82" s="59">
        <f>VENTAS!O48*$I$20</f>
        <v>5816382.04</v>
      </c>
      <c r="N82" s="76">
        <f t="shared" si="18"/>
        <v>59484113.72</v>
      </c>
    </row>
    <row r="83">
      <c r="A83" s="2" t="s">
        <v>48</v>
      </c>
      <c r="B83" s="59">
        <f>VENTAS!D48*$I$24</f>
        <v>17366235.58</v>
      </c>
      <c r="C83" s="59">
        <f>VENTAS!E48*$I$24</f>
        <v>11924073.44</v>
      </c>
      <c r="D83" s="59">
        <f>VENTAS!F48*$I$24</f>
        <v>14088016</v>
      </c>
      <c r="E83" s="59">
        <f>VENTAS!G48*$I$24</f>
        <v>15672546.9</v>
      </c>
      <c r="F83" s="59">
        <f>VENTAS!H48*$I$24</f>
        <v>14028440.18</v>
      </c>
      <c r="G83" s="59">
        <f>VENTAS!I48*$I$24</f>
        <v>16435179.38</v>
      </c>
      <c r="H83" s="59">
        <f>VENTAS!J48*$I$24</f>
        <v>16599652.03</v>
      </c>
      <c r="I83" s="59">
        <f>VENTAS!K48*$I$24</f>
        <v>15184551.98</v>
      </c>
      <c r="J83" s="59">
        <f>VENTAS!L48*$I$24</f>
        <v>14105757.04</v>
      </c>
      <c r="K83" s="59">
        <f>VENTAS!M48*$I$24</f>
        <v>14014340.31</v>
      </c>
      <c r="L83" s="59">
        <f>VENTAS!N48*$I$24</f>
        <v>14394262.06</v>
      </c>
      <c r="M83" s="59">
        <f>VENTAS!O48*$I$24</f>
        <v>17753672.1</v>
      </c>
      <c r="N83" s="76">
        <f t="shared" si="18"/>
        <v>181566727</v>
      </c>
    </row>
    <row r="84">
      <c r="A84" s="2" t="s">
        <v>57</v>
      </c>
      <c r="B84" s="59">
        <f>VENTAS!D48*$I$31</f>
        <v>5253517.437</v>
      </c>
      <c r="C84" s="59">
        <f>VENTAS!E48*$I$31</f>
        <v>3607190.944</v>
      </c>
      <c r="D84" s="59">
        <f>VENTAS!F48*$I$31</f>
        <v>4261812.374</v>
      </c>
      <c r="E84" s="59">
        <f>VENTAS!G48*$I$31</f>
        <v>4741154.065</v>
      </c>
      <c r="F84" s="59">
        <f>VENTAS!H48*$I$31</f>
        <v>4243789.895</v>
      </c>
      <c r="G84" s="59">
        <f>VENTAS!I48*$I$31</f>
        <v>4971860.544</v>
      </c>
      <c r="H84" s="59">
        <f>VENTAS!J48*$I$31</f>
        <v>5021615.71</v>
      </c>
      <c r="I84" s="59">
        <f>VENTAS!K48*$I$31</f>
        <v>4593529.105</v>
      </c>
      <c r="J84" s="59">
        <f>VENTAS!L48*$I$31</f>
        <v>4267179.276</v>
      </c>
      <c r="K84" s="59">
        <f>VENTAS!M48*$I$31</f>
        <v>4239524.497</v>
      </c>
      <c r="L84" s="59">
        <f>VENTAS!N48*$I$31</f>
        <v>4354455.884</v>
      </c>
      <c r="M84" s="59">
        <f>VENTAS!O48*$I$31</f>
        <v>5370722.14</v>
      </c>
      <c r="N84" s="76">
        <f t="shared" si="18"/>
        <v>54926351.87</v>
      </c>
    </row>
    <row r="85">
      <c r="A85" s="2" t="s">
        <v>62</v>
      </c>
      <c r="B85" s="78">
        <f>VENTAS!D48*$I$36</f>
        <v>13756016.3</v>
      </c>
      <c r="C85" s="78">
        <f>VENTAS!E48*$I$36</f>
        <v>9445210.379</v>
      </c>
      <c r="D85" s="78">
        <f>VENTAS!F48*$I$36</f>
        <v>11159296.83</v>
      </c>
      <c r="E85" s="78">
        <f>VENTAS!G48*$I$36</f>
        <v>12414423.93</v>
      </c>
      <c r="F85" s="78">
        <f>VENTAS!H48*$I$36</f>
        <v>11112106.07</v>
      </c>
      <c r="G85" s="78">
        <f>VENTAS!I48*$I$36</f>
        <v>13018514.83</v>
      </c>
      <c r="H85" s="78">
        <f>VENTAS!J48*$I$36</f>
        <v>13148795.71</v>
      </c>
      <c r="I85" s="78">
        <f>VENTAS!K48*$I$36</f>
        <v>12027876.94</v>
      </c>
      <c r="J85" s="78">
        <f>VENTAS!L48*$I$36</f>
        <v>11173349.74</v>
      </c>
      <c r="K85" s="78">
        <f>VENTAS!M48*$I$36</f>
        <v>11100937.38</v>
      </c>
      <c r="L85" s="78">
        <f>VENTAS!N48*$I$36</f>
        <v>11401878.23</v>
      </c>
      <c r="M85" s="78">
        <f>VENTAS!O48*$I$36</f>
        <v>14062909.7</v>
      </c>
      <c r="N85" s="76">
        <f t="shared" si="18"/>
        <v>143821316</v>
      </c>
      <c r="O85" s="79">
        <f>SUM(N80:N85)</f>
        <v>889797911.5</v>
      </c>
    </row>
    <row r="89">
      <c r="B89" s="17" t="s">
        <v>163</v>
      </c>
      <c r="C89" s="18"/>
      <c r="D89" s="18"/>
      <c r="E89" s="18"/>
      <c r="F89" s="18"/>
      <c r="G89" s="18"/>
      <c r="H89" s="18"/>
      <c r="I89" s="18"/>
      <c r="J89" s="18"/>
      <c r="K89" s="18"/>
      <c r="L89" s="18"/>
      <c r="M89" s="19"/>
    </row>
    <row r="90">
      <c r="A90" s="14"/>
      <c r="B90" s="15" t="s">
        <v>1</v>
      </c>
      <c r="C90" s="16" t="s">
        <v>2</v>
      </c>
      <c r="D90" s="16" t="s">
        <v>3</v>
      </c>
      <c r="E90" s="16" t="s">
        <v>4</v>
      </c>
      <c r="F90" s="16" t="s">
        <v>5</v>
      </c>
      <c r="G90" s="16" t="s">
        <v>6</v>
      </c>
      <c r="H90" s="16" t="s">
        <v>7</v>
      </c>
      <c r="I90" s="16" t="s">
        <v>8</v>
      </c>
      <c r="J90" s="16" t="s">
        <v>9</v>
      </c>
      <c r="K90" s="16" t="s">
        <v>10</v>
      </c>
      <c r="L90" s="16" t="s">
        <v>11</v>
      </c>
      <c r="M90" s="16" t="s">
        <v>12</v>
      </c>
      <c r="N90" s="2" t="s">
        <v>82</v>
      </c>
    </row>
    <row r="91">
      <c r="A91" s="75" t="s">
        <v>83</v>
      </c>
      <c r="B91" s="59">
        <f>VENTAS!D49*$J$8</f>
        <v>27162399.67</v>
      </c>
      <c r="C91" s="59">
        <f>VENTAS!E49*$J$8</f>
        <v>18650354.41</v>
      </c>
      <c r="D91" s="59">
        <f>VENTAS!F49*$J$8</f>
        <v>22034960.85</v>
      </c>
      <c r="E91" s="59">
        <f>VENTAS!G49*$J$8</f>
        <v>24513313.83</v>
      </c>
      <c r="F91" s="59">
        <f>VENTAS!H49*$J$8</f>
        <v>21941778.75</v>
      </c>
      <c r="G91" s="59">
        <f>VENTAS!I49*$J$8</f>
        <v>25706141.61</v>
      </c>
      <c r="H91" s="59">
        <f>VENTAS!J49*$J$8</f>
        <v>25963392.06</v>
      </c>
      <c r="I91" s="59">
        <f>VENTAS!K49*$J$8</f>
        <v>23750044.6</v>
      </c>
      <c r="J91" s="59">
        <f>VENTAS!L49*$J$8</f>
        <v>22062709.48</v>
      </c>
      <c r="K91" s="59">
        <f>VENTAS!M49*$J$8</f>
        <v>21919725.25</v>
      </c>
      <c r="L91" s="59">
        <f>VENTAS!N49*$J$8</f>
        <v>22513958.03</v>
      </c>
      <c r="M91" s="59">
        <f>VENTAS!O49*$J$8</f>
        <v>27768386.24</v>
      </c>
      <c r="N91" s="76">
        <f t="shared" ref="N91:N96" si="19">SUM(B91:M91)</f>
        <v>283987164.8</v>
      </c>
    </row>
    <row r="92">
      <c r="A92" s="77" t="s">
        <v>37</v>
      </c>
      <c r="B92" s="59">
        <f>VENTAS!D49*$J$15</f>
        <v>16842453.84</v>
      </c>
      <c r="C92" s="59">
        <f>VENTAS!E49*$J$15</f>
        <v>11564432.35</v>
      </c>
      <c r="D92" s="59">
        <f>VENTAS!F49*$J$15</f>
        <v>13663108.4</v>
      </c>
      <c r="E92" s="59">
        <f>VENTAS!G49*$J$15</f>
        <v>15199848.38</v>
      </c>
      <c r="F92" s="59">
        <f>VENTAS!H49*$J$15</f>
        <v>13605329.44</v>
      </c>
      <c r="G92" s="59">
        <f>VENTAS!I49*$J$15</f>
        <v>15939479.16</v>
      </c>
      <c r="H92" s="59">
        <f>VENTAS!J49*$J$15</f>
        <v>16098991.17</v>
      </c>
      <c r="I92" s="59">
        <f>VENTAS!K49*$J$15</f>
        <v>14726571.84</v>
      </c>
      <c r="J92" s="59">
        <f>VENTAS!L49*$J$15</f>
        <v>13680314.35</v>
      </c>
      <c r="K92" s="59">
        <f>VENTAS!M49*$J$15</f>
        <v>13591654.83</v>
      </c>
      <c r="L92" s="59">
        <f>VENTAS!N49*$J$15</f>
        <v>13960117.79</v>
      </c>
      <c r="M92" s="59">
        <f>VENTAS!O49*$J$15</f>
        <v>17218204.92</v>
      </c>
      <c r="N92" s="76">
        <f t="shared" si="19"/>
        <v>176090506.5</v>
      </c>
    </row>
    <row r="93">
      <c r="A93" s="2" t="s">
        <v>43</v>
      </c>
      <c r="B93" s="59">
        <f>VENTAS!D49*$J$20</f>
        <v>5803240.783</v>
      </c>
      <c r="C93" s="59">
        <f>VENTAS!E49*$J$20</f>
        <v>3984644.164</v>
      </c>
      <c r="D93" s="59">
        <f>VENTAS!F49*$J$20</f>
        <v>4707764.593</v>
      </c>
      <c r="E93" s="59">
        <f>VENTAS!G49*$J$20</f>
        <v>5237264.168</v>
      </c>
      <c r="F93" s="59">
        <f>VENTAS!H49*$J$20</f>
        <v>4687856.258</v>
      </c>
      <c r="G93" s="59">
        <f>VENTAS!I49*$J$20</f>
        <v>5492111.565</v>
      </c>
      <c r="H93" s="59">
        <f>VENTAS!J49*$J$20</f>
        <v>5547073.067</v>
      </c>
      <c r="I93" s="59">
        <f>VENTAS!K49*$J$20</f>
        <v>5074191.864</v>
      </c>
      <c r="J93" s="59">
        <f>VENTAS!L49*$J$20</f>
        <v>4713693.083</v>
      </c>
      <c r="K93" s="59">
        <f>VENTAS!M49*$J$20</f>
        <v>4683144.533</v>
      </c>
      <c r="L93" s="59">
        <f>VENTAS!N49*$J$20</f>
        <v>4810102.236</v>
      </c>
      <c r="M93" s="59">
        <f>VENTAS!O49*$J$20</f>
        <v>5932709.681</v>
      </c>
      <c r="N93" s="76">
        <f t="shared" si="19"/>
        <v>60673796</v>
      </c>
    </row>
    <row r="94">
      <c r="A94" s="2" t="s">
        <v>48</v>
      </c>
      <c r="B94" s="59">
        <f>VENTAS!D49*$J$24</f>
        <v>17713560.29</v>
      </c>
      <c r="C94" s="59">
        <f>VENTAS!E49*$J$24</f>
        <v>12162554.9</v>
      </c>
      <c r="D94" s="59">
        <f>VENTAS!F49*$J$24</f>
        <v>14369776.32</v>
      </c>
      <c r="E94" s="59">
        <f>VENTAS!G49*$J$24</f>
        <v>15985997.84</v>
      </c>
      <c r="F94" s="59">
        <f>VENTAS!H49*$J$24</f>
        <v>14309008.98</v>
      </c>
      <c r="G94" s="59">
        <f>VENTAS!I49*$J$24</f>
        <v>16763882.97</v>
      </c>
      <c r="H94" s="59">
        <f>VENTAS!J49*$J$24</f>
        <v>16931645.08</v>
      </c>
      <c r="I94" s="59">
        <f>VENTAS!K49*$J$24</f>
        <v>15488243.02</v>
      </c>
      <c r="J94" s="59">
        <f>VENTAS!L49*$J$24</f>
        <v>14387872.18</v>
      </c>
      <c r="K94" s="59">
        <f>VENTAS!M49*$J$24</f>
        <v>14294627.11</v>
      </c>
      <c r="L94" s="59">
        <f>VENTAS!N49*$J$24</f>
        <v>14682147.3</v>
      </c>
      <c r="M94" s="59">
        <f>VENTAS!O49*$J$24</f>
        <v>18108745.54</v>
      </c>
      <c r="N94" s="76">
        <f t="shared" si="19"/>
        <v>185198061.5</v>
      </c>
    </row>
    <row r="95">
      <c r="A95" s="2" t="s">
        <v>57</v>
      </c>
      <c r="B95" s="59">
        <f>VENTAS!D49*$J$31</f>
        <v>5358587.786</v>
      </c>
      <c r="C95" s="59">
        <f>VENTAS!E49*$J$31</f>
        <v>3679334.763</v>
      </c>
      <c r="D95" s="59">
        <f>VENTAS!F49*$J$31</f>
        <v>4347048.622</v>
      </c>
      <c r="E95" s="59">
        <f>VENTAS!G49*$J$31</f>
        <v>4835977.146</v>
      </c>
      <c r="F95" s="59">
        <f>VENTAS!H49*$J$31</f>
        <v>4328665.693</v>
      </c>
      <c r="G95" s="59">
        <f>VENTAS!I49*$J$31</f>
        <v>5071297.754</v>
      </c>
      <c r="H95" s="59">
        <f>VENTAS!J49*$J$31</f>
        <v>5122048.024</v>
      </c>
      <c r="I95" s="59">
        <f>VENTAS!K49*$J$31</f>
        <v>4685399.687</v>
      </c>
      <c r="J95" s="59">
        <f>VENTAS!L49*$J$31</f>
        <v>4352522.862</v>
      </c>
      <c r="K95" s="59">
        <f>VENTAS!M49*$J$31</f>
        <v>4324314.987</v>
      </c>
      <c r="L95" s="59">
        <f>VENTAS!N49*$J$31</f>
        <v>4441545.001</v>
      </c>
      <c r="M95" s="59">
        <f>VENTAS!O49*$J$31</f>
        <v>5478136.583</v>
      </c>
      <c r="N95" s="76">
        <f t="shared" si="19"/>
        <v>56024878.91</v>
      </c>
    </row>
    <row r="96">
      <c r="A96" s="2" t="s">
        <v>62</v>
      </c>
      <c r="B96" s="78">
        <f>VENTAS!D49*$J$36</f>
        <v>14031136.63</v>
      </c>
      <c r="C96" s="78">
        <f>VENTAS!E49*$J$36</f>
        <v>9634114.587</v>
      </c>
      <c r="D96" s="78">
        <f>VENTAS!F49*$J$36</f>
        <v>11382482.77</v>
      </c>
      <c r="E96" s="78">
        <f>VENTAS!G49*$J$36</f>
        <v>12662712.41</v>
      </c>
      <c r="F96" s="78">
        <f>VENTAS!H49*$J$36</f>
        <v>11334348.19</v>
      </c>
      <c r="G96" s="78">
        <f>VENTAS!I49*$J$36</f>
        <v>13278885.13</v>
      </c>
      <c r="H96" s="78">
        <f>VENTAS!J49*$J$36</f>
        <v>13411771.63</v>
      </c>
      <c r="I96" s="78">
        <f>VENTAS!K49*$J$36</f>
        <v>12268434.48</v>
      </c>
      <c r="J96" s="78">
        <f>VENTAS!L49*$J$36</f>
        <v>11396816.73</v>
      </c>
      <c r="K96" s="78">
        <f>VENTAS!M49*$J$36</f>
        <v>11322956.13</v>
      </c>
      <c r="L96" s="78">
        <f>VENTAS!N49*$J$36</f>
        <v>11629915.8</v>
      </c>
      <c r="M96" s="78">
        <f>VENTAS!O49*$J$36</f>
        <v>14344167.89</v>
      </c>
      <c r="N96" s="76">
        <f t="shared" si="19"/>
        <v>146697742.4</v>
      </c>
      <c r="O96" s="79">
        <f>SUM(N91:N96)</f>
        <v>908672150.1</v>
      </c>
    </row>
    <row r="100">
      <c r="B100" s="17" t="s">
        <v>164</v>
      </c>
      <c r="C100" s="18"/>
      <c r="D100" s="18"/>
      <c r="E100" s="18"/>
      <c r="F100" s="18"/>
      <c r="G100" s="18"/>
      <c r="H100" s="18"/>
      <c r="I100" s="18"/>
      <c r="J100" s="18"/>
      <c r="K100" s="18"/>
      <c r="L100" s="18"/>
      <c r="M100" s="19"/>
    </row>
    <row r="101">
      <c r="A101" s="14"/>
      <c r="B101" s="15" t="s">
        <v>1</v>
      </c>
      <c r="C101" s="16" t="s">
        <v>2</v>
      </c>
      <c r="D101" s="16" t="s">
        <v>3</v>
      </c>
      <c r="E101" s="16" t="s">
        <v>4</v>
      </c>
      <c r="F101" s="16" t="s">
        <v>5</v>
      </c>
      <c r="G101" s="16" t="s">
        <v>6</v>
      </c>
      <c r="H101" s="16" t="s">
        <v>7</v>
      </c>
      <c r="I101" s="16" t="s">
        <v>8</v>
      </c>
      <c r="J101" s="16" t="s">
        <v>9</v>
      </c>
      <c r="K101" s="16" t="s">
        <v>10</v>
      </c>
      <c r="L101" s="16" t="s">
        <v>11</v>
      </c>
      <c r="M101" s="16" t="s">
        <v>12</v>
      </c>
      <c r="N101" s="2" t="s">
        <v>82</v>
      </c>
    </row>
    <row r="102">
      <c r="A102" s="75" t="s">
        <v>83</v>
      </c>
      <c r="B102" s="59">
        <f>VENTAS!D50*$K$8</f>
        <v>27705647.67</v>
      </c>
      <c r="C102" s="59">
        <f>VENTAS!E50*$K$8</f>
        <v>19023361.5</v>
      </c>
      <c r="D102" s="59">
        <f>VENTAS!F50*$K$8</f>
        <v>22475660.06</v>
      </c>
      <c r="E102" s="59">
        <f>VENTAS!G50*$K$8</f>
        <v>25003580.1</v>
      </c>
      <c r="F102" s="59">
        <f>VENTAS!H50*$K$8</f>
        <v>22380614.32</v>
      </c>
      <c r="G102" s="59">
        <f>VENTAS!I50*$K$8</f>
        <v>26220264.45</v>
      </c>
      <c r="H102" s="59">
        <f>VENTAS!J50*$K$8</f>
        <v>26482659.9</v>
      </c>
      <c r="I102" s="59">
        <f>VENTAS!K50*$K$8</f>
        <v>24225045.5</v>
      </c>
      <c r="J102" s="59">
        <f>VENTAS!L50*$K$8</f>
        <v>22503963.67</v>
      </c>
      <c r="K102" s="59">
        <f>VENTAS!M50*$K$8</f>
        <v>22358119.75</v>
      </c>
      <c r="L102" s="59">
        <f>VENTAS!N50*$K$8</f>
        <v>22964237.19</v>
      </c>
      <c r="M102" s="59">
        <f>VENTAS!O50*$K$8</f>
        <v>28323753.97</v>
      </c>
      <c r="N102" s="76">
        <f t="shared" ref="N102:N107" si="20">SUM(B102:M102)</f>
        <v>289666908.1</v>
      </c>
    </row>
    <row r="103">
      <c r="A103" s="77" t="s">
        <v>37</v>
      </c>
      <c r="B103" s="59">
        <f>VENTAS!D50*$K$15</f>
        <v>17179302.92</v>
      </c>
      <c r="C103" s="59">
        <f>VENTAS!E50*$K$15</f>
        <v>11795720.99</v>
      </c>
      <c r="D103" s="59">
        <f>VENTAS!F50*$K$15</f>
        <v>13936370.56</v>
      </c>
      <c r="E103" s="59">
        <f>VENTAS!G50*$K$15</f>
        <v>15503845.35</v>
      </c>
      <c r="F103" s="59">
        <f>VENTAS!H50*$K$15</f>
        <v>13877436.03</v>
      </c>
      <c r="G103" s="59">
        <f>VENTAS!I50*$K$15</f>
        <v>16258268.75</v>
      </c>
      <c r="H103" s="59">
        <f>VENTAS!J50*$K$15</f>
        <v>16420970.99</v>
      </c>
      <c r="I103" s="59">
        <f>VENTAS!K50*$K$15</f>
        <v>15021103.27</v>
      </c>
      <c r="J103" s="59">
        <f>VENTAS!L50*$K$15</f>
        <v>13953920.64</v>
      </c>
      <c r="K103" s="59">
        <f>VENTAS!M50*$K$15</f>
        <v>13863487.93</v>
      </c>
      <c r="L103" s="59">
        <f>VENTAS!N50*$K$15</f>
        <v>14239320.15</v>
      </c>
      <c r="M103" s="59">
        <f>VENTAS!O50*$K$15</f>
        <v>17562569.01</v>
      </c>
      <c r="N103" s="76">
        <f t="shared" si="20"/>
        <v>179612316.6</v>
      </c>
    </row>
    <row r="104">
      <c r="A104" s="2" t="s">
        <v>43</v>
      </c>
      <c r="B104" s="59">
        <f>VENTAS!D50*$K$20</f>
        <v>5919305.599</v>
      </c>
      <c r="C104" s="59">
        <f>VENTAS!E50*$K$20</f>
        <v>4064337.047</v>
      </c>
      <c r="D104" s="59">
        <f>VENTAS!F50*$K$20</f>
        <v>4801919.885</v>
      </c>
      <c r="E104" s="59">
        <f>VENTAS!G50*$K$20</f>
        <v>5342009.451</v>
      </c>
      <c r="F104" s="59">
        <f>VENTAS!H50*$K$20</f>
        <v>4781613.383</v>
      </c>
      <c r="G104" s="59">
        <f>VENTAS!I50*$K$20</f>
        <v>5601953.797</v>
      </c>
      <c r="H104" s="59">
        <f>VENTAS!J50*$K$20</f>
        <v>5658014.528</v>
      </c>
      <c r="I104" s="59">
        <f>VENTAS!K50*$K$20</f>
        <v>5175675.702</v>
      </c>
      <c r="J104" s="59">
        <f>VENTAS!L50*$K$20</f>
        <v>4807966.944</v>
      </c>
      <c r="K104" s="59">
        <f>VENTAS!M50*$K$20</f>
        <v>4776807.423</v>
      </c>
      <c r="L104" s="59">
        <f>VENTAS!N50*$K$20</f>
        <v>4906304.281</v>
      </c>
      <c r="M104" s="59">
        <f>VENTAS!O50*$K$20</f>
        <v>6051363.875</v>
      </c>
      <c r="N104" s="76">
        <f t="shared" si="20"/>
        <v>61887271.92</v>
      </c>
    </row>
    <row r="105">
      <c r="A105" s="2" t="s">
        <v>48</v>
      </c>
      <c r="B105" s="59">
        <f>VENTAS!D50*$K$24</f>
        <v>18067831.5</v>
      </c>
      <c r="C105" s="59">
        <f>VENTAS!E50*$K$24</f>
        <v>12405806</v>
      </c>
      <c r="D105" s="59">
        <f>VENTAS!F50*$K$24</f>
        <v>14657171.84</v>
      </c>
      <c r="E105" s="59">
        <f>VENTAS!G50*$K$24</f>
        <v>16305717.79</v>
      </c>
      <c r="F105" s="59">
        <f>VENTAS!H50*$K$24</f>
        <v>14595189.16</v>
      </c>
      <c r="G105" s="59">
        <f>VENTAS!I50*$K$24</f>
        <v>17099160.63</v>
      </c>
      <c r="H105" s="59">
        <f>VENTAS!J50*$K$24</f>
        <v>17270277.98</v>
      </c>
      <c r="I105" s="59">
        <f>VENTAS!K50*$K$24</f>
        <v>15798007.88</v>
      </c>
      <c r="J105" s="59">
        <f>VENTAS!L50*$K$24</f>
        <v>14675629.62</v>
      </c>
      <c r="K105" s="59">
        <f>VENTAS!M50*$K$24</f>
        <v>14580519.65</v>
      </c>
      <c r="L105" s="59">
        <f>VENTAS!N50*$K$24</f>
        <v>14975790.24</v>
      </c>
      <c r="M105" s="59">
        <f>VENTAS!O50*$K$24</f>
        <v>18470920.45</v>
      </c>
      <c r="N105" s="76">
        <f t="shared" si="20"/>
        <v>188902022.8</v>
      </c>
    </row>
    <row r="106">
      <c r="A106" s="2" t="s">
        <v>57</v>
      </c>
      <c r="B106" s="59">
        <f>VENTAS!D50*$K$31</f>
        <v>5465759.542</v>
      </c>
      <c r="C106" s="59">
        <f>VENTAS!E50*$K$31</f>
        <v>3752921.458</v>
      </c>
      <c r="D106" s="59">
        <f>VENTAS!F50*$K$31</f>
        <v>4433989.594</v>
      </c>
      <c r="E106" s="59">
        <f>VENTAS!G50*$K$31</f>
        <v>4932696.689</v>
      </c>
      <c r="F106" s="59">
        <f>VENTAS!H50*$K$31</f>
        <v>4415239.007</v>
      </c>
      <c r="G106" s="59">
        <f>VENTAS!I50*$K$31</f>
        <v>5172723.71</v>
      </c>
      <c r="H106" s="59">
        <f>VENTAS!J50*$K$31</f>
        <v>5224488.984</v>
      </c>
      <c r="I106" s="59">
        <f>VENTAS!K50*$K$31</f>
        <v>4779107.681</v>
      </c>
      <c r="J106" s="59">
        <f>VENTAS!L50*$K$31</f>
        <v>4439573.319</v>
      </c>
      <c r="K106" s="59">
        <f>VENTAS!M50*$K$31</f>
        <v>4410801.287</v>
      </c>
      <c r="L106" s="59">
        <f>VENTAS!N50*$K$31</f>
        <v>4530375.901</v>
      </c>
      <c r="M106" s="59">
        <f>VENTAS!O50*$K$31</f>
        <v>5587699.315</v>
      </c>
      <c r="N106" s="76">
        <f t="shared" si="20"/>
        <v>57145376.49</v>
      </c>
    </row>
    <row r="107">
      <c r="A107" s="2" t="s">
        <v>62</v>
      </c>
      <c r="B107" s="78">
        <f>VENTAS!D50*$K$36</f>
        <v>14311759.36</v>
      </c>
      <c r="C107" s="78">
        <f>VENTAS!E50*$K$36</f>
        <v>9826796.878</v>
      </c>
      <c r="D107" s="78">
        <f>VENTAS!F50*$K$36</f>
        <v>11610132.42</v>
      </c>
      <c r="E107" s="78">
        <f>VENTAS!G50*$K$36</f>
        <v>12915966.66</v>
      </c>
      <c r="F107" s="78">
        <f>VENTAS!H50*$K$36</f>
        <v>11561035.15</v>
      </c>
      <c r="G107" s="78">
        <f>VENTAS!I50*$K$36</f>
        <v>13544462.83</v>
      </c>
      <c r="H107" s="78">
        <f>VENTAS!J50*$K$36</f>
        <v>13680007.06</v>
      </c>
      <c r="I107" s="78">
        <f>VENTAS!K50*$K$36</f>
        <v>12513803.17</v>
      </c>
      <c r="J107" s="78">
        <f>VENTAS!L50*$K$36</f>
        <v>11624753.07</v>
      </c>
      <c r="K107" s="78">
        <f>VENTAS!M50*$K$36</f>
        <v>11549415.25</v>
      </c>
      <c r="L107" s="78">
        <f>VENTAS!N50*$K$36</f>
        <v>11862514.11</v>
      </c>
      <c r="M107" s="78">
        <f>VENTAS!O50*$K$36</f>
        <v>14631051.25</v>
      </c>
      <c r="N107" s="76">
        <f t="shared" si="20"/>
        <v>149631697.2</v>
      </c>
      <c r="O107" s="79">
        <f>SUM(N102:N107)</f>
        <v>926845593.1</v>
      </c>
    </row>
  </sheetData>
  <mergeCells count="64">
    <mergeCell ref="B36:C36"/>
    <mergeCell ref="B37:C37"/>
    <mergeCell ref="A8:A14"/>
    <mergeCell ref="A15:A19"/>
    <mergeCell ref="A20:A23"/>
    <mergeCell ref="B20:C20"/>
    <mergeCell ref="A24:A30"/>
    <mergeCell ref="B28:C28"/>
    <mergeCell ref="B31:C31"/>
    <mergeCell ref="B45:C45"/>
    <mergeCell ref="B46:C46"/>
    <mergeCell ref="B47:C47"/>
    <mergeCell ref="B48:C48"/>
    <mergeCell ref="B49:C49"/>
    <mergeCell ref="B50:C50"/>
    <mergeCell ref="B51:C51"/>
    <mergeCell ref="B52:C52"/>
    <mergeCell ref="A31:A35"/>
    <mergeCell ref="A36:A53"/>
    <mergeCell ref="B38:C38"/>
    <mergeCell ref="B39:C39"/>
    <mergeCell ref="B40:C40"/>
    <mergeCell ref="B41:C41"/>
    <mergeCell ref="B42:C42"/>
    <mergeCell ref="B53:C53"/>
    <mergeCell ref="A3:L3"/>
    <mergeCell ref="B7:C7"/>
    <mergeCell ref="G8:G14"/>
    <mergeCell ref="H8:H14"/>
    <mergeCell ref="I8:I14"/>
    <mergeCell ref="J8:J14"/>
    <mergeCell ref="K8:K14"/>
    <mergeCell ref="I20:I23"/>
    <mergeCell ref="J20:J23"/>
    <mergeCell ref="G15:G19"/>
    <mergeCell ref="H15:H19"/>
    <mergeCell ref="I15:I19"/>
    <mergeCell ref="J15:J19"/>
    <mergeCell ref="K15:K19"/>
    <mergeCell ref="H20:H23"/>
    <mergeCell ref="K20:K23"/>
    <mergeCell ref="H31:H35"/>
    <mergeCell ref="I31:I35"/>
    <mergeCell ref="G36:G53"/>
    <mergeCell ref="H36:H53"/>
    <mergeCell ref="I36:I53"/>
    <mergeCell ref="J36:J53"/>
    <mergeCell ref="K36:K53"/>
    <mergeCell ref="J31:J35"/>
    <mergeCell ref="K31:K35"/>
    <mergeCell ref="G20:G23"/>
    <mergeCell ref="G24:G30"/>
    <mergeCell ref="H24:H30"/>
    <mergeCell ref="I24:I30"/>
    <mergeCell ref="J24:J30"/>
    <mergeCell ref="K24:K30"/>
    <mergeCell ref="G31:G35"/>
    <mergeCell ref="B43:C43"/>
    <mergeCell ref="B44:C44"/>
    <mergeCell ref="B58:M58"/>
    <mergeCell ref="B68:M68"/>
    <mergeCell ref="B78:M78"/>
    <mergeCell ref="B89:M89"/>
    <mergeCell ref="B100:M100"/>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2.5"/>
    <col customWidth="1" min="3" max="3" width="17.25"/>
    <col customWidth="1" min="4" max="5" width="16.63"/>
    <col customWidth="1" min="7" max="7" width="27.75"/>
    <col customWidth="1" min="8" max="8" width="24.25"/>
    <col customWidth="1" min="9" max="9" width="16.88"/>
    <col customWidth="1" min="10" max="10" width="34.25"/>
    <col customWidth="1" min="11" max="11" width="15.25"/>
    <col customWidth="1" min="12" max="12" width="18.0"/>
    <col customWidth="1" min="15" max="15" width="21.13"/>
    <col customWidth="1" min="16" max="16" width="16.5"/>
    <col customWidth="1" min="17" max="17" width="16.13"/>
  </cols>
  <sheetData>
    <row r="4">
      <c r="B4" s="162" t="s">
        <v>165</v>
      </c>
      <c r="C4" s="18"/>
      <c r="D4" s="18"/>
      <c r="E4" s="18"/>
      <c r="F4" s="18"/>
      <c r="G4" s="18"/>
      <c r="H4" s="18"/>
      <c r="I4" s="18"/>
      <c r="J4" s="19"/>
    </row>
    <row r="6">
      <c r="L6" s="163" t="s">
        <v>166</v>
      </c>
      <c r="M6" s="119"/>
      <c r="N6" s="164" t="s">
        <v>141</v>
      </c>
      <c r="O6" s="165" t="s">
        <v>167</v>
      </c>
      <c r="P6" s="166" t="s">
        <v>168</v>
      </c>
      <c r="Q6" s="166" t="s">
        <v>169</v>
      </c>
      <c r="R6" s="166" t="s">
        <v>170</v>
      </c>
      <c r="S6" s="166" t="s">
        <v>171</v>
      </c>
      <c r="T6" s="166" t="s">
        <v>172</v>
      </c>
    </row>
    <row r="7" ht="32.25" customHeight="1">
      <c r="B7" s="167" t="s">
        <v>173</v>
      </c>
      <c r="C7" s="168" t="s">
        <v>174</v>
      </c>
      <c r="D7" s="169"/>
      <c r="E7" s="130"/>
      <c r="H7" s="170" t="s">
        <v>175</v>
      </c>
      <c r="I7" s="168" t="s">
        <v>174</v>
      </c>
      <c r="J7" s="169"/>
      <c r="K7" s="101"/>
      <c r="L7" s="171"/>
      <c r="N7" s="38"/>
      <c r="O7" s="38"/>
      <c r="P7" s="38"/>
      <c r="Q7" s="38"/>
      <c r="R7" s="38"/>
      <c r="S7" s="38"/>
      <c r="T7" s="38"/>
    </row>
    <row r="8">
      <c r="B8" s="38"/>
      <c r="C8" s="172" t="s">
        <v>176</v>
      </c>
      <c r="D8" s="173" t="s">
        <v>177</v>
      </c>
      <c r="E8" s="130"/>
      <c r="H8" s="38"/>
      <c r="I8" s="172" t="s">
        <v>176</v>
      </c>
      <c r="J8" s="173" t="s">
        <v>177</v>
      </c>
      <c r="K8" s="101"/>
      <c r="L8" s="174" t="s">
        <v>143</v>
      </c>
      <c r="M8" s="175"/>
      <c r="N8" s="124">
        <f>INVERSIONES!D71</f>
        <v>0</v>
      </c>
      <c r="O8" s="176">
        <v>20.0</v>
      </c>
      <c r="P8" s="176">
        <v>5.0</v>
      </c>
      <c r="Q8" s="124">
        <f t="shared" ref="Q8:Q12" si="1">(N8-((N8/O8)*P8))</f>
        <v>0</v>
      </c>
      <c r="R8" s="124">
        <f t="shared" ref="R8:R12" si="2">N8-Q8</f>
        <v>0</v>
      </c>
      <c r="S8" s="124">
        <f t="shared" ref="S8:S12" si="3">T8/12</f>
        <v>0</v>
      </c>
      <c r="T8" s="124">
        <f t="shared" ref="T8:T12" si="4">R8/P8</f>
        <v>0</v>
      </c>
    </row>
    <row r="9">
      <c r="B9" s="177" t="s">
        <v>178</v>
      </c>
      <c r="C9" s="178">
        <v>0.0</v>
      </c>
      <c r="D9" s="179">
        <v>1.0</v>
      </c>
      <c r="E9" s="130"/>
      <c r="H9" s="180" t="s">
        <v>143</v>
      </c>
      <c r="I9" s="179">
        <v>0.0</v>
      </c>
      <c r="J9" s="179">
        <v>1.0</v>
      </c>
      <c r="K9" s="101"/>
      <c r="L9" s="174" t="s">
        <v>144</v>
      </c>
      <c r="M9" s="175"/>
      <c r="N9" s="124">
        <f>INVERSIONES!D72</f>
        <v>44905042</v>
      </c>
      <c r="O9" s="176">
        <v>10.0</v>
      </c>
      <c r="P9" s="176">
        <v>5.0</v>
      </c>
      <c r="Q9" s="124">
        <f t="shared" si="1"/>
        <v>22452521</v>
      </c>
      <c r="R9" s="124">
        <f t="shared" si="2"/>
        <v>22452521</v>
      </c>
      <c r="S9" s="124">
        <f t="shared" si="3"/>
        <v>374208.6833</v>
      </c>
      <c r="T9" s="124">
        <f t="shared" si="4"/>
        <v>4490504.2</v>
      </c>
    </row>
    <row r="10">
      <c r="B10" s="177" t="s">
        <v>179</v>
      </c>
      <c r="C10" s="178">
        <v>0.0</v>
      </c>
      <c r="D10" s="179">
        <v>1.0</v>
      </c>
      <c r="E10" s="130"/>
      <c r="H10" s="180" t="s">
        <v>144</v>
      </c>
      <c r="I10" s="179">
        <v>0.0</v>
      </c>
      <c r="J10" s="179">
        <v>1.0</v>
      </c>
      <c r="K10" s="101"/>
      <c r="L10" s="174" t="s">
        <v>145</v>
      </c>
      <c r="M10" s="175"/>
      <c r="N10" s="124">
        <f>INVERSIONES!D73</f>
        <v>6780000</v>
      </c>
      <c r="O10" s="176">
        <v>5.0</v>
      </c>
      <c r="P10" s="176">
        <v>5.0</v>
      </c>
      <c r="Q10" s="124">
        <f t="shared" si="1"/>
        <v>0</v>
      </c>
      <c r="R10" s="124">
        <f t="shared" si="2"/>
        <v>6780000</v>
      </c>
      <c r="S10" s="124">
        <f t="shared" si="3"/>
        <v>113000</v>
      </c>
      <c r="T10" s="124">
        <f t="shared" si="4"/>
        <v>1356000</v>
      </c>
    </row>
    <row r="11">
      <c r="B11" s="181" t="s">
        <v>180</v>
      </c>
      <c r="C11" s="178">
        <v>0.0</v>
      </c>
      <c r="D11" s="179">
        <v>1.0</v>
      </c>
      <c r="E11" s="130"/>
      <c r="H11" s="180" t="s">
        <v>145</v>
      </c>
      <c r="I11" s="179">
        <v>0.0</v>
      </c>
      <c r="J11" s="179">
        <v>1.0</v>
      </c>
      <c r="K11" s="101"/>
      <c r="L11" s="174" t="s">
        <v>114</v>
      </c>
      <c r="M11" s="175"/>
      <c r="N11" s="124">
        <f>INVERSIONES!D74</f>
        <v>3993258</v>
      </c>
      <c r="O11" s="176">
        <v>5.0</v>
      </c>
      <c r="P11" s="176">
        <v>5.0</v>
      </c>
      <c r="Q11" s="124">
        <f t="shared" si="1"/>
        <v>0</v>
      </c>
      <c r="R11" s="124">
        <f t="shared" si="2"/>
        <v>3993258</v>
      </c>
      <c r="S11" s="124">
        <f t="shared" si="3"/>
        <v>66554.3</v>
      </c>
      <c r="T11" s="124">
        <f t="shared" si="4"/>
        <v>798651.6</v>
      </c>
    </row>
    <row r="12">
      <c r="B12" s="177" t="s">
        <v>181</v>
      </c>
      <c r="C12" s="178">
        <v>0.0</v>
      </c>
      <c r="D12" s="179">
        <v>1.0</v>
      </c>
      <c r="E12" s="130"/>
      <c r="H12" s="180" t="s">
        <v>114</v>
      </c>
      <c r="I12" s="179">
        <v>0.0</v>
      </c>
      <c r="J12" s="179">
        <v>1.0</v>
      </c>
      <c r="K12" s="101"/>
      <c r="L12" s="174" t="s">
        <v>182</v>
      </c>
      <c r="M12" s="175"/>
      <c r="N12" s="124">
        <f>INVERSIONES!D75</f>
        <v>2117257</v>
      </c>
      <c r="O12" s="176">
        <v>5.0</v>
      </c>
      <c r="P12" s="176">
        <v>5.0</v>
      </c>
      <c r="Q12" s="124">
        <f t="shared" si="1"/>
        <v>0</v>
      </c>
      <c r="R12" s="124">
        <f t="shared" si="2"/>
        <v>2117257</v>
      </c>
      <c r="S12" s="124">
        <f t="shared" si="3"/>
        <v>35287.61667</v>
      </c>
      <c r="T12" s="124">
        <f t="shared" si="4"/>
        <v>423451.4</v>
      </c>
    </row>
    <row r="13" ht="27.75" customHeight="1">
      <c r="B13" s="181" t="s">
        <v>183</v>
      </c>
      <c r="C13" s="178">
        <v>0.0</v>
      </c>
      <c r="D13" s="179">
        <v>1.0</v>
      </c>
      <c r="E13" s="130"/>
      <c r="H13" s="180" t="s">
        <v>182</v>
      </c>
      <c r="I13" s="179">
        <v>0.0</v>
      </c>
      <c r="J13" s="179">
        <v>1.0</v>
      </c>
      <c r="K13" s="101"/>
      <c r="L13" s="86" t="s">
        <v>88</v>
      </c>
      <c r="M13" s="18"/>
      <c r="N13" s="18"/>
      <c r="O13" s="18"/>
      <c r="P13" s="18"/>
      <c r="Q13" s="18"/>
      <c r="R13" s="18"/>
      <c r="S13" s="19"/>
      <c r="T13" s="182">
        <f>SUM(T8:T12)</f>
        <v>7068607.2</v>
      </c>
    </row>
    <row r="14">
      <c r="B14" s="130"/>
      <c r="C14" s="130"/>
      <c r="D14" s="130"/>
      <c r="E14" s="130"/>
      <c r="H14" s="101"/>
      <c r="I14" s="101"/>
      <c r="J14" s="101"/>
      <c r="K14" s="101"/>
    </row>
    <row r="15">
      <c r="B15" s="130"/>
      <c r="C15" s="130"/>
      <c r="D15" s="130"/>
      <c r="E15" s="130"/>
      <c r="H15" s="101"/>
      <c r="I15" s="101"/>
      <c r="J15" s="101"/>
      <c r="K15" s="101"/>
    </row>
    <row r="16">
      <c r="B16" s="130"/>
      <c r="C16" s="130"/>
      <c r="D16" s="130"/>
      <c r="E16" s="130"/>
      <c r="H16" s="164" t="s">
        <v>184</v>
      </c>
      <c r="I16" s="164" t="s">
        <v>141</v>
      </c>
      <c r="J16" s="183" t="s">
        <v>185</v>
      </c>
      <c r="K16" s="19"/>
    </row>
    <row r="17">
      <c r="B17" s="184" t="s">
        <v>173</v>
      </c>
      <c r="C17" s="163" t="s">
        <v>186</v>
      </c>
      <c r="D17" s="185" t="s">
        <v>174</v>
      </c>
      <c r="E17" s="169"/>
      <c r="H17" s="35"/>
      <c r="I17" s="35"/>
      <c r="J17" s="186" t="s">
        <v>176</v>
      </c>
      <c r="K17" s="186" t="s">
        <v>177</v>
      </c>
    </row>
    <row r="18">
      <c r="B18" s="38"/>
      <c r="C18" s="39"/>
      <c r="D18" s="187" t="s">
        <v>176</v>
      </c>
      <c r="E18" s="188" t="s">
        <v>177</v>
      </c>
      <c r="H18" s="189" t="str">
        <f>INVERSIONES!B70</f>
        <v>Terreno</v>
      </c>
      <c r="I18" s="124">
        <f>INVERSIONES!D70</f>
        <v>0</v>
      </c>
      <c r="J18" s="124">
        <f t="shared" ref="J18:K18" si="5">I18</f>
        <v>0</v>
      </c>
      <c r="K18" s="124">
        <f t="shared" si="5"/>
        <v>0</v>
      </c>
    </row>
    <row r="19">
      <c r="B19" s="177" t="s">
        <v>178</v>
      </c>
      <c r="C19" s="190">
        <v>350000.0</v>
      </c>
      <c r="D19" s="124">
        <f t="shared" ref="D19:E19" si="6">$C$19*C9</f>
        <v>0</v>
      </c>
      <c r="E19" s="124">
        <f t="shared" si="6"/>
        <v>350000</v>
      </c>
      <c r="H19" s="189" t="str">
        <f>INVERSIONES!B71</f>
        <v>Construcciones</v>
      </c>
      <c r="I19" s="124">
        <f t="shared" ref="I19:I23" si="9">T8</f>
        <v>0</v>
      </c>
      <c r="J19" s="124">
        <f t="shared" ref="J19:K19" si="7">$I$19*I9</f>
        <v>0</v>
      </c>
      <c r="K19" s="124">
        <f t="shared" si="7"/>
        <v>0</v>
      </c>
    </row>
    <row r="20">
      <c r="B20" s="177" t="s">
        <v>179</v>
      </c>
      <c r="C20" s="191">
        <v>1.0E7</v>
      </c>
      <c r="D20" s="124">
        <f t="shared" ref="D20:E20" si="8">$C$20*C10</f>
        <v>0</v>
      </c>
      <c r="E20" s="124">
        <f t="shared" si="8"/>
        <v>10000000</v>
      </c>
      <c r="H20" s="189" t="str">
        <f>INVERSIONES!B72</f>
        <v>Maquinaria y Equipos</v>
      </c>
      <c r="I20" s="124">
        <f t="shared" si="9"/>
        <v>4490504.2</v>
      </c>
      <c r="J20" s="124">
        <f t="shared" ref="J20:K20" si="10">$I$20*I10</f>
        <v>0</v>
      </c>
      <c r="K20" s="124">
        <f t="shared" si="10"/>
        <v>4490504.2</v>
      </c>
    </row>
    <row r="21">
      <c r="B21" s="181" t="s">
        <v>187</v>
      </c>
      <c r="C21" s="191">
        <v>450000.0</v>
      </c>
      <c r="D21" s="124">
        <f t="shared" ref="D21:E21" si="11">$C$21*C11</f>
        <v>0</v>
      </c>
      <c r="E21" s="124">
        <f t="shared" si="11"/>
        <v>450000</v>
      </c>
      <c r="H21" s="189" t="str">
        <f>INVERSIONES!B73</f>
        <v>Muebles y enseres</v>
      </c>
      <c r="I21" s="124">
        <f t="shared" si="9"/>
        <v>1356000</v>
      </c>
      <c r="J21" s="124">
        <f t="shared" ref="J21:K21" si="12">$I$21*I11</f>
        <v>0</v>
      </c>
      <c r="K21" s="124">
        <f t="shared" si="12"/>
        <v>1356000</v>
      </c>
    </row>
    <row r="22">
      <c r="B22" s="177" t="s">
        <v>181</v>
      </c>
      <c r="C22" s="124">
        <v>550000.0</v>
      </c>
      <c r="D22" s="124">
        <f t="shared" ref="D22:E22" si="13">$C$22*C12</f>
        <v>0</v>
      </c>
      <c r="E22" s="124">
        <f t="shared" si="13"/>
        <v>550000</v>
      </c>
      <c r="H22" s="189" t="str">
        <f>INVERSIONES!B74</f>
        <v>Equipos de oficina</v>
      </c>
      <c r="I22" s="124">
        <f t="shared" si="9"/>
        <v>798651.6</v>
      </c>
      <c r="J22" s="124">
        <f t="shared" ref="J22:K22" si="14">$I$22*I12</f>
        <v>0</v>
      </c>
      <c r="K22" s="124">
        <f t="shared" si="14"/>
        <v>798651.6</v>
      </c>
    </row>
    <row r="23">
      <c r="B23" s="181" t="s">
        <v>188</v>
      </c>
      <c r="C23" s="124">
        <v>130000.0</v>
      </c>
      <c r="D23" s="124">
        <f t="shared" ref="D23:E23" si="15">$C$23*C13</f>
        <v>0</v>
      </c>
      <c r="E23" s="124">
        <f t="shared" si="15"/>
        <v>130000</v>
      </c>
      <c r="H23" s="189" t="str">
        <f>INVERSIONES!B75</f>
        <v>Herramientas</v>
      </c>
      <c r="I23" s="124">
        <f t="shared" si="9"/>
        <v>423451.4</v>
      </c>
      <c r="J23" s="78">
        <f t="shared" ref="J23:K23" si="16">$I$23*I13</f>
        <v>0</v>
      </c>
      <c r="K23" s="78">
        <f t="shared" si="16"/>
        <v>423451.4</v>
      </c>
    </row>
    <row r="27">
      <c r="B27" s="162" t="s">
        <v>189</v>
      </c>
      <c r="C27" s="18"/>
      <c r="D27" s="18"/>
      <c r="E27" s="19"/>
    </row>
    <row r="28">
      <c r="B28" s="130"/>
      <c r="C28" s="130"/>
      <c r="D28" s="130"/>
      <c r="E28" s="130"/>
    </row>
    <row r="29">
      <c r="B29" s="108" t="s">
        <v>166</v>
      </c>
      <c r="C29" s="19"/>
      <c r="D29" s="192" t="s">
        <v>190</v>
      </c>
      <c r="E29" s="192" t="s">
        <v>191</v>
      </c>
      <c r="J29" s="101"/>
      <c r="K29" s="101"/>
      <c r="L29" s="101"/>
      <c r="M29" s="101"/>
    </row>
    <row r="30">
      <c r="B30" s="174" t="s">
        <v>192</v>
      </c>
      <c r="C30" s="19"/>
      <c r="D30" s="140">
        <f t="shared" ref="D30:D36" si="17">E30/12</f>
        <v>16638.575</v>
      </c>
      <c r="E30" s="140">
        <f>INVERSIONES!D74*G30</f>
        <v>199662.9</v>
      </c>
      <c r="G30" s="7">
        <v>0.05</v>
      </c>
      <c r="J30" s="193" t="s">
        <v>193</v>
      </c>
      <c r="K30" s="18"/>
      <c r="L30" s="18"/>
      <c r="M30" s="19"/>
      <c r="O30" s="194" t="s">
        <v>194</v>
      </c>
      <c r="P30" s="195" t="s">
        <v>195</v>
      </c>
      <c r="Q30" s="18"/>
      <c r="R30" s="18"/>
      <c r="S30" s="18"/>
      <c r="T30" s="18"/>
      <c r="U30" s="18"/>
      <c r="V30" s="18"/>
      <c r="W30" s="18"/>
      <c r="X30" s="18"/>
      <c r="Y30" s="19"/>
    </row>
    <row r="31">
      <c r="B31" s="174" t="s">
        <v>196</v>
      </c>
      <c r="C31" s="19"/>
      <c r="D31" s="196">
        <f t="shared" si="17"/>
        <v>240814.8208</v>
      </c>
      <c r="E31" s="196">
        <f>(+N8*J9+N9*J10+N10*J11+N11*J12+N12*J13)*G31</f>
        <v>2889777.85</v>
      </c>
      <c r="G31" s="7">
        <v>0.05</v>
      </c>
      <c r="J31" s="197" t="s">
        <v>166</v>
      </c>
      <c r="K31" s="197" t="s">
        <v>92</v>
      </c>
      <c r="L31" s="197" t="s">
        <v>91</v>
      </c>
      <c r="M31" s="88" t="s">
        <v>197</v>
      </c>
      <c r="O31" s="38"/>
      <c r="P31" s="198" t="s">
        <v>198</v>
      </c>
      <c r="Q31" s="199" t="s">
        <v>199</v>
      </c>
      <c r="R31" s="197" t="s">
        <v>200</v>
      </c>
      <c r="S31" s="197" t="s">
        <v>201</v>
      </c>
      <c r="T31" s="197" t="s">
        <v>202</v>
      </c>
      <c r="U31" s="200" t="s">
        <v>203</v>
      </c>
      <c r="V31" s="197" t="s">
        <v>204</v>
      </c>
      <c r="W31" s="200" t="s">
        <v>205</v>
      </c>
      <c r="X31" s="201" t="s">
        <v>206</v>
      </c>
      <c r="Y31" s="200" t="s">
        <v>207</v>
      </c>
    </row>
    <row r="32">
      <c r="B32" s="174" t="s">
        <v>208</v>
      </c>
      <c r="C32" s="19"/>
      <c r="D32" s="140">
        <f t="shared" si="17"/>
        <v>0</v>
      </c>
      <c r="E32" s="140">
        <f t="shared" ref="E32:E36" si="18">K19</f>
        <v>0</v>
      </c>
      <c r="J32" s="202" t="s">
        <v>209</v>
      </c>
      <c r="K32" s="124">
        <v>16350.0</v>
      </c>
      <c r="L32" s="203">
        <v>1.0</v>
      </c>
      <c r="M32" s="124">
        <f t="shared" ref="M32:M34" si="19">L32*K32</f>
        <v>16350</v>
      </c>
      <c r="O32" s="177" t="s">
        <v>210</v>
      </c>
      <c r="P32" s="204">
        <f>NOMINA!B28</f>
        <v>1</v>
      </c>
      <c r="Q32" s="205">
        <f>NOMINA!C28</f>
        <v>1600000</v>
      </c>
      <c r="R32" s="206">
        <f>NOMINA!D28</f>
        <v>0.0417</v>
      </c>
      <c r="S32" s="207">
        <f>NOMINA!E28</f>
        <v>0.09</v>
      </c>
      <c r="T32" s="208">
        <f>NOMINA!F28</f>
        <v>0.085</v>
      </c>
      <c r="U32" s="207">
        <f>NOMINA!G28</f>
        <v>0.12</v>
      </c>
      <c r="V32" s="206">
        <f>NOMINA!H28</f>
        <v>0.0052</v>
      </c>
      <c r="W32" s="209">
        <f>NOMINA!I28</f>
        <v>162000</v>
      </c>
      <c r="X32" s="205">
        <f>NOMINA!J28</f>
        <v>2309040</v>
      </c>
      <c r="Y32" s="205">
        <f>NOMINA!K28</f>
        <v>2309040</v>
      </c>
    </row>
    <row r="33">
      <c r="B33" s="174" t="s">
        <v>211</v>
      </c>
      <c r="C33" s="19"/>
      <c r="D33" s="140">
        <f t="shared" si="17"/>
        <v>374208.6833</v>
      </c>
      <c r="E33" s="140">
        <f t="shared" si="18"/>
        <v>4490504.2</v>
      </c>
      <c r="J33" s="202" t="s">
        <v>212</v>
      </c>
      <c r="K33" s="124">
        <v>19900.0</v>
      </c>
      <c r="L33" s="203">
        <v>1.0</v>
      </c>
      <c r="M33" s="124">
        <f t="shared" si="19"/>
        <v>19900</v>
      </c>
      <c r="O33" s="210" t="s">
        <v>213</v>
      </c>
      <c r="P33" s="211">
        <v>1.0</v>
      </c>
      <c r="Q33" s="205">
        <f>NOMINA!C29</f>
        <v>2900000</v>
      </c>
      <c r="R33" s="206">
        <f>NOMINA!D29</f>
        <v>0.0417</v>
      </c>
      <c r="S33" s="207">
        <f>NOMINA!E29</f>
        <v>0.09</v>
      </c>
      <c r="T33" s="208">
        <f>NOMINA!F29</f>
        <v>0.085</v>
      </c>
      <c r="U33" s="207">
        <f>NOMINA!G29</f>
        <v>0.12</v>
      </c>
      <c r="V33" s="206">
        <f>NOMINA!H29</f>
        <v>0.0052</v>
      </c>
      <c r="W33" s="204" t="str">
        <f>NOMINA!I29</f>
        <v/>
      </c>
      <c r="X33" s="205">
        <f>NOMINA!J29</f>
        <v>3891510</v>
      </c>
      <c r="Y33" s="205">
        <f>NOMINA!K29</f>
        <v>3891510</v>
      </c>
    </row>
    <row r="34">
      <c r="B34" s="174" t="s">
        <v>214</v>
      </c>
      <c r="C34" s="19"/>
      <c r="D34" s="140">
        <f t="shared" si="17"/>
        <v>113000</v>
      </c>
      <c r="E34" s="140">
        <f t="shared" si="18"/>
        <v>1356000</v>
      </c>
      <c r="J34" s="202" t="s">
        <v>215</v>
      </c>
      <c r="K34" s="124">
        <v>39130.0</v>
      </c>
      <c r="L34" s="203">
        <v>1.0</v>
      </c>
      <c r="M34" s="124">
        <f t="shared" si="19"/>
        <v>39130</v>
      </c>
      <c r="O34" s="108" t="s">
        <v>216</v>
      </c>
      <c r="P34" s="18"/>
      <c r="Q34" s="18"/>
      <c r="R34" s="18"/>
      <c r="S34" s="18"/>
      <c r="T34" s="18"/>
      <c r="U34" s="18"/>
      <c r="V34" s="18"/>
      <c r="W34" s="18"/>
      <c r="X34" s="19"/>
      <c r="Y34" s="212">
        <f>SUM(Y32:Y33)</f>
        <v>6200550</v>
      </c>
    </row>
    <row r="35" ht="37.5" customHeight="1">
      <c r="B35" s="213" t="s">
        <v>217</v>
      </c>
      <c r="C35" s="19"/>
      <c r="D35" s="140">
        <f t="shared" si="17"/>
        <v>66554.3</v>
      </c>
      <c r="E35" s="140">
        <f t="shared" si="18"/>
        <v>798651.6</v>
      </c>
      <c r="J35" s="214" t="s">
        <v>218</v>
      </c>
      <c r="K35" s="124" t="s">
        <v>112</v>
      </c>
      <c r="L35" s="215" t="s">
        <v>112</v>
      </c>
      <c r="M35" s="191">
        <v>12000.0</v>
      </c>
    </row>
    <row r="36">
      <c r="B36" s="174" t="s">
        <v>219</v>
      </c>
      <c r="C36" s="19"/>
      <c r="D36" s="140">
        <f t="shared" si="17"/>
        <v>35287.61667</v>
      </c>
      <c r="E36" s="140">
        <f t="shared" si="18"/>
        <v>423451.4</v>
      </c>
      <c r="J36" s="216" t="s">
        <v>82</v>
      </c>
      <c r="K36" s="217">
        <f>SUM(K32:K34)</f>
        <v>75380</v>
      </c>
      <c r="L36" s="218"/>
      <c r="M36" s="217">
        <f>SUM(M32:M35)</f>
        <v>87380</v>
      </c>
    </row>
    <row r="37">
      <c r="B37" s="219" t="s">
        <v>220</v>
      </c>
      <c r="C37" s="19"/>
      <c r="D37" s="140">
        <f>E20</f>
        <v>10000000</v>
      </c>
      <c r="E37" s="140">
        <f t="shared" ref="E37:E39" si="20">D37*12</f>
        <v>120000000</v>
      </c>
    </row>
    <row r="38">
      <c r="B38" s="174" t="s">
        <v>221</v>
      </c>
      <c r="C38" s="19"/>
      <c r="D38" s="140">
        <f>E21+E22+E23+E19</f>
        <v>1480000</v>
      </c>
      <c r="E38" s="140">
        <f t="shared" si="20"/>
        <v>17760000</v>
      </c>
    </row>
    <row r="39">
      <c r="B39" s="174" t="s">
        <v>222</v>
      </c>
      <c r="C39" s="19"/>
      <c r="D39" s="140">
        <f>M36</f>
        <v>87380</v>
      </c>
      <c r="E39" s="140">
        <f t="shared" si="20"/>
        <v>1048560</v>
      </c>
    </row>
    <row r="40">
      <c r="B40" s="220" t="s">
        <v>223</v>
      </c>
      <c r="C40" s="19"/>
      <c r="D40" s="78">
        <f>E40/12</f>
        <v>113658.3333</v>
      </c>
      <c r="E40" s="78">
        <f>INVERSIONES!D87</f>
        <v>1363900</v>
      </c>
    </row>
    <row r="41">
      <c r="B41" s="220" t="s">
        <v>224</v>
      </c>
      <c r="C41" s="19"/>
      <c r="D41" s="140">
        <f>Y34</f>
        <v>6200550</v>
      </c>
      <c r="E41" s="140">
        <f>D41*12</f>
        <v>74406600</v>
      </c>
    </row>
    <row r="42">
      <c r="B42" s="115" t="s">
        <v>225</v>
      </c>
      <c r="C42" s="19"/>
      <c r="D42" s="221">
        <f>SUM(D30:D40)</f>
        <v>12527542.33</v>
      </c>
      <c r="E42" s="221">
        <f>SUM(E30:E41)</f>
        <v>224737108</v>
      </c>
    </row>
    <row r="46">
      <c r="B46" s="162" t="s">
        <v>226</v>
      </c>
      <c r="C46" s="18"/>
      <c r="D46" s="19"/>
    </row>
    <row r="49">
      <c r="B49" s="222" t="s">
        <v>227</v>
      </c>
      <c r="C49" s="195" t="s">
        <v>195</v>
      </c>
      <c r="D49" s="18"/>
      <c r="E49" s="18"/>
      <c r="F49" s="18"/>
      <c r="G49" s="18"/>
      <c r="H49" s="18"/>
      <c r="I49" s="18"/>
      <c r="J49" s="18"/>
      <c r="K49" s="18"/>
      <c r="L49" s="19"/>
    </row>
    <row r="50">
      <c r="B50" s="38"/>
      <c r="C50" s="198" t="s">
        <v>198</v>
      </c>
      <c r="D50" s="199" t="s">
        <v>199</v>
      </c>
      <c r="E50" s="197" t="s">
        <v>200</v>
      </c>
      <c r="F50" s="197" t="s">
        <v>201</v>
      </c>
      <c r="G50" s="197" t="s">
        <v>202</v>
      </c>
      <c r="H50" s="200" t="s">
        <v>203</v>
      </c>
      <c r="I50" s="197" t="s">
        <v>204</v>
      </c>
      <c r="J50" s="200" t="s">
        <v>205</v>
      </c>
      <c r="K50" s="200" t="s">
        <v>228</v>
      </c>
      <c r="L50" s="197" t="s">
        <v>207</v>
      </c>
    </row>
    <row r="51">
      <c r="B51" s="177" t="s">
        <v>229</v>
      </c>
      <c r="C51" s="204">
        <f>NOMINA!B21</f>
        <v>1</v>
      </c>
      <c r="D51" s="205">
        <f>NOMINA!C21</f>
        <v>1500000</v>
      </c>
      <c r="E51" s="206">
        <f>NOMINA!D21</f>
        <v>0.0417</v>
      </c>
      <c r="F51" s="207">
        <f>NOMINA!E21</f>
        <v>0.09</v>
      </c>
      <c r="G51" s="208">
        <f>NOMINA!F21</f>
        <v>0.085</v>
      </c>
      <c r="H51" s="207">
        <f>NOMINA!G21</f>
        <v>0.12</v>
      </c>
      <c r="I51" s="206">
        <f>NOMINA!H21</f>
        <v>0.0052</v>
      </c>
      <c r="J51" s="209">
        <f>NOMINA!I21</f>
        <v>162000</v>
      </c>
      <c r="K51" s="205">
        <f>NOMINA!J21</f>
        <v>2174850</v>
      </c>
      <c r="L51" s="205">
        <f>NOMINA!K21</f>
        <v>2174850</v>
      </c>
    </row>
    <row r="52">
      <c r="B52" s="177" t="s">
        <v>230</v>
      </c>
      <c r="C52" s="204">
        <f>NOMINA!B22</f>
        <v>2</v>
      </c>
      <c r="D52" s="205">
        <f>NOMINA!C22</f>
        <v>1300000</v>
      </c>
      <c r="E52" s="206">
        <f>NOMINA!D22</f>
        <v>0.0417</v>
      </c>
      <c r="F52" s="207">
        <f>NOMINA!E22</f>
        <v>0.09</v>
      </c>
      <c r="G52" s="208">
        <f>NOMINA!F22</f>
        <v>0.085</v>
      </c>
      <c r="H52" s="207">
        <f>NOMINA!G22</f>
        <v>0.12</v>
      </c>
      <c r="I52" s="206">
        <f>NOMINA!H22</f>
        <v>0.0052</v>
      </c>
      <c r="J52" s="209">
        <f>NOMINA!I22</f>
        <v>162000</v>
      </c>
      <c r="K52" s="205">
        <f>NOMINA!J22</f>
        <v>1906470</v>
      </c>
      <c r="L52" s="205">
        <f>NOMINA!K22</f>
        <v>3812940</v>
      </c>
    </row>
    <row r="53">
      <c r="B53" s="177" t="s">
        <v>231</v>
      </c>
      <c r="C53" s="204">
        <f>NOMINA!B23</f>
        <v>1</v>
      </c>
      <c r="D53" s="205">
        <f>NOMINA!C23</f>
        <v>1300000</v>
      </c>
      <c r="E53" s="206">
        <f>NOMINA!D23</f>
        <v>0.0417</v>
      </c>
      <c r="F53" s="207">
        <f>NOMINA!E23</f>
        <v>0.09</v>
      </c>
      <c r="G53" s="208">
        <f>NOMINA!F23</f>
        <v>0.085</v>
      </c>
      <c r="H53" s="207">
        <f>NOMINA!G23</f>
        <v>0.12</v>
      </c>
      <c r="I53" s="206">
        <f>NOMINA!H23</f>
        <v>0.0052</v>
      </c>
      <c r="J53" s="209">
        <f>NOMINA!I23</f>
        <v>162000</v>
      </c>
      <c r="K53" s="205">
        <f>NOMINA!J23</f>
        <v>1906470</v>
      </c>
      <c r="L53" s="205">
        <f>NOMINA!K23</f>
        <v>1906470</v>
      </c>
    </row>
    <row r="54">
      <c r="B54" s="162" t="s">
        <v>216</v>
      </c>
      <c r="C54" s="18"/>
      <c r="D54" s="18"/>
      <c r="E54" s="18"/>
      <c r="F54" s="18"/>
      <c r="G54" s="18"/>
      <c r="H54" s="18"/>
      <c r="I54" s="18"/>
      <c r="J54" s="18"/>
      <c r="K54" s="19"/>
      <c r="L54" s="223">
        <f>SUM(L51:L53)</f>
        <v>7894260</v>
      </c>
      <c r="M54" s="224">
        <f>L54*12</f>
        <v>94731120</v>
      </c>
    </row>
    <row r="57">
      <c r="B57" s="17" t="s">
        <v>232</v>
      </c>
      <c r="C57" s="18"/>
      <c r="D57" s="18"/>
      <c r="E57" s="19"/>
      <c r="G57" s="222" t="s">
        <v>227</v>
      </c>
      <c r="H57" s="195" t="s">
        <v>195</v>
      </c>
      <c r="I57" s="18"/>
      <c r="J57" s="18"/>
      <c r="K57" s="18"/>
      <c r="L57" s="18"/>
      <c r="M57" s="18"/>
      <c r="N57" s="18"/>
      <c r="O57" s="18"/>
      <c r="P57" s="18"/>
      <c r="Q57" s="19"/>
    </row>
    <row r="58">
      <c r="D58" s="2" t="s">
        <v>190</v>
      </c>
      <c r="E58" s="2" t="s">
        <v>191</v>
      </c>
      <c r="G58" s="38"/>
      <c r="H58" s="198" t="s">
        <v>198</v>
      </c>
      <c r="I58" s="199" t="s">
        <v>199</v>
      </c>
      <c r="J58" s="197" t="s">
        <v>200</v>
      </c>
      <c r="K58" s="197" t="s">
        <v>201</v>
      </c>
      <c r="L58" s="197" t="s">
        <v>202</v>
      </c>
      <c r="M58" s="200" t="s">
        <v>203</v>
      </c>
      <c r="N58" s="197" t="s">
        <v>204</v>
      </c>
      <c r="O58" s="200" t="s">
        <v>205</v>
      </c>
      <c r="P58" s="200" t="s">
        <v>228</v>
      </c>
      <c r="Q58" s="197" t="s">
        <v>207</v>
      </c>
    </row>
    <row r="59">
      <c r="B59" s="225" t="s">
        <v>233</v>
      </c>
      <c r="C59" s="19"/>
      <c r="D59" s="226">
        <v>400000.0</v>
      </c>
      <c r="E59" s="76">
        <f t="shared" ref="E59:E62" si="21">D59*12</f>
        <v>4800000</v>
      </c>
      <c r="G59" s="177" t="str">
        <f>NOMINA!A30</f>
        <v>Comunnity Manager</v>
      </c>
      <c r="H59" s="177">
        <f>NOMINA!B30</f>
        <v>1</v>
      </c>
      <c r="I59" s="227">
        <f>NOMINA!C30</f>
        <v>1300000</v>
      </c>
      <c r="J59" s="177" t="str">
        <f>NOMINA!D30</f>
        <v>-</v>
      </c>
      <c r="K59" s="177" t="str">
        <f>NOMINA!E30</f>
        <v>-</v>
      </c>
      <c r="L59" s="177" t="str">
        <f>NOMINA!F30</f>
        <v>-</v>
      </c>
      <c r="M59" s="177" t="str">
        <f>NOMINA!G30</f>
        <v>-</v>
      </c>
      <c r="N59" s="177" t="str">
        <f>NOMINA!H30</f>
        <v>-</v>
      </c>
      <c r="O59" s="177" t="str">
        <f>NOMINA!I30</f>
        <v>-</v>
      </c>
      <c r="P59" s="227">
        <f>NOMINA!J30</f>
        <v>1300000</v>
      </c>
      <c r="Q59" s="227">
        <f>NOMINA!K30</f>
        <v>1300000</v>
      </c>
    </row>
    <row r="60">
      <c r="B60" s="225" t="s">
        <v>234</v>
      </c>
      <c r="C60" s="19"/>
      <c r="D60" s="226">
        <v>60000.0</v>
      </c>
      <c r="E60" s="76">
        <f t="shared" si="21"/>
        <v>720000</v>
      </c>
      <c r="G60" s="177" t="str">
        <f>NOMINA!A29</f>
        <v>Gerente</v>
      </c>
      <c r="H60" s="177">
        <f>NOMINA!B29</f>
        <v>1</v>
      </c>
      <c r="I60" s="227">
        <f>NOMINA!C29</f>
        <v>2900000</v>
      </c>
      <c r="J60" s="228">
        <f>NOMINA!D29</f>
        <v>0.0417</v>
      </c>
      <c r="K60" s="229">
        <f>NOMINA!E29</f>
        <v>0.09</v>
      </c>
      <c r="L60" s="230">
        <f>NOMINA!F29</f>
        <v>0.085</v>
      </c>
      <c r="M60" s="229">
        <f>NOMINA!G29</f>
        <v>0.12</v>
      </c>
      <c r="N60" s="228">
        <f>NOMINA!H29</f>
        <v>0.0052</v>
      </c>
      <c r="O60" s="177" t="str">
        <f>NOMINA!I29</f>
        <v/>
      </c>
      <c r="P60" s="227">
        <f>NOMINA!J29</f>
        <v>3891510</v>
      </c>
      <c r="Q60" s="227">
        <f>NOMINA!K29</f>
        <v>3891510</v>
      </c>
    </row>
    <row r="61">
      <c r="B61" s="225" t="s">
        <v>235</v>
      </c>
      <c r="C61" s="19"/>
      <c r="D61" s="76">
        <f>Q61</f>
        <v>5191510</v>
      </c>
      <c r="E61" s="76">
        <f t="shared" si="21"/>
        <v>62298120</v>
      </c>
      <c r="Q61" s="223">
        <f>SUM(Q59:Q60)</f>
        <v>5191510</v>
      </c>
    </row>
    <row r="62">
      <c r="B62" s="225" t="s">
        <v>236</v>
      </c>
      <c r="C62" s="19"/>
      <c r="D62" s="226">
        <v>600000.0</v>
      </c>
      <c r="E62" s="76">
        <f t="shared" si="21"/>
        <v>7200000</v>
      </c>
    </row>
    <row r="63">
      <c r="B63" s="231" t="s">
        <v>82</v>
      </c>
      <c r="C63" s="19"/>
      <c r="D63" s="224">
        <f t="shared" ref="D63:E63" si="22">SUM(D59:D62)</f>
        <v>6251510</v>
      </c>
      <c r="E63" s="224">
        <f t="shared" si="22"/>
        <v>75018120</v>
      </c>
      <c r="G63" s="232" t="s">
        <v>237</v>
      </c>
      <c r="H63" s="233" t="s">
        <v>190</v>
      </c>
    </row>
    <row r="64">
      <c r="G64" s="234" t="s">
        <v>238</v>
      </c>
      <c r="H64" s="235">
        <v>50000.0</v>
      </c>
    </row>
    <row r="65">
      <c r="G65" s="236" t="s">
        <v>239</v>
      </c>
      <c r="H65" s="237">
        <v>12900.0</v>
      </c>
    </row>
    <row r="66">
      <c r="G66" s="234" t="s">
        <v>240</v>
      </c>
      <c r="H66" s="235">
        <v>47900.0</v>
      </c>
    </row>
    <row r="67">
      <c r="B67" s="115" t="s">
        <v>241</v>
      </c>
      <c r="C67" s="18"/>
      <c r="D67" s="19"/>
      <c r="E67" s="116">
        <f>E42+E63</f>
        <v>299755228</v>
      </c>
      <c r="G67" s="234" t="s">
        <v>242</v>
      </c>
      <c r="H67" s="235">
        <v>20000.0</v>
      </c>
    </row>
    <row r="68">
      <c r="B68" s="17" t="s">
        <v>243</v>
      </c>
      <c r="C68" s="18"/>
      <c r="D68" s="18"/>
      <c r="E68" s="19"/>
      <c r="F68" s="238"/>
      <c r="G68" s="239" t="s">
        <v>244</v>
      </c>
      <c r="H68" s="240">
        <f>SUM(H64:H67)</f>
        <v>130800</v>
      </c>
    </row>
    <row r="69">
      <c r="B69" s="241"/>
      <c r="C69" s="241"/>
      <c r="D69" s="241"/>
      <c r="E69" s="241"/>
    </row>
    <row r="70">
      <c r="B70" s="162" t="s">
        <v>166</v>
      </c>
      <c r="C70" s="19"/>
      <c r="D70" s="242" t="s">
        <v>190</v>
      </c>
      <c r="E70" s="242" t="s">
        <v>191</v>
      </c>
    </row>
    <row r="71">
      <c r="B71" s="219" t="s">
        <v>245</v>
      </c>
      <c r="C71" s="175"/>
      <c r="D71" s="124">
        <f>H68</f>
        <v>130800</v>
      </c>
      <c r="E71" s="124">
        <f t="shared" ref="E71:E72" si="23">D71*12</f>
        <v>1569600</v>
      </c>
    </row>
    <row r="72">
      <c r="B72" s="219" t="s">
        <v>246</v>
      </c>
      <c r="C72" s="18"/>
      <c r="D72" s="124">
        <f>L54</f>
        <v>7894260</v>
      </c>
      <c r="E72" s="124">
        <f t="shared" si="23"/>
        <v>94731120</v>
      </c>
    </row>
    <row r="73">
      <c r="B73" s="243" t="s">
        <v>247</v>
      </c>
      <c r="C73" s="18"/>
      <c r="D73" s="244">
        <f t="shared" ref="D73:E73" si="24">SUM(D71:D72)</f>
        <v>8025060</v>
      </c>
      <c r="E73" s="244">
        <f t="shared" si="24"/>
        <v>96300720</v>
      </c>
    </row>
    <row r="75">
      <c r="B75" s="17" t="s">
        <v>248</v>
      </c>
      <c r="C75" s="18"/>
      <c r="D75" s="18"/>
      <c r="E75" s="19"/>
      <c r="G75" s="194" t="s">
        <v>249</v>
      </c>
      <c r="H75" s="195" t="s">
        <v>195</v>
      </c>
      <c r="I75" s="18"/>
      <c r="J75" s="18"/>
      <c r="K75" s="18"/>
      <c r="L75" s="18"/>
      <c r="M75" s="18"/>
      <c r="N75" s="18"/>
      <c r="O75" s="18"/>
      <c r="P75" s="18"/>
      <c r="Q75" s="19"/>
    </row>
    <row r="76">
      <c r="G76" s="38"/>
      <c r="H76" s="198" t="s">
        <v>198</v>
      </c>
      <c r="I76" s="199" t="s">
        <v>199</v>
      </c>
      <c r="J76" s="197" t="s">
        <v>200</v>
      </c>
      <c r="K76" s="197" t="s">
        <v>201</v>
      </c>
      <c r="L76" s="197" t="s">
        <v>202</v>
      </c>
      <c r="M76" s="200" t="s">
        <v>203</v>
      </c>
      <c r="N76" s="197" t="s">
        <v>204</v>
      </c>
      <c r="O76" s="200" t="s">
        <v>205</v>
      </c>
      <c r="P76" s="200" t="s">
        <v>228</v>
      </c>
      <c r="Q76" s="200" t="s">
        <v>207</v>
      </c>
    </row>
    <row r="77">
      <c r="B77" s="162" t="s">
        <v>166</v>
      </c>
      <c r="C77" s="19"/>
      <c r="D77" s="242" t="s">
        <v>190</v>
      </c>
      <c r="E77" s="242" t="s">
        <v>191</v>
      </c>
      <c r="G77" s="177" t="s">
        <v>250</v>
      </c>
      <c r="H77" s="202">
        <f>NOMINA!B6</f>
        <v>1</v>
      </c>
      <c r="I77" s="245">
        <f>NOMINA!C6</f>
        <v>2500000</v>
      </c>
      <c r="J77" s="246">
        <f>NOMINA!D6</f>
        <v>0.0417</v>
      </c>
      <c r="K77" s="247">
        <f>NOMINA!E6</f>
        <v>0.09</v>
      </c>
      <c r="L77" s="248">
        <f>NOMINA!F6</f>
        <v>0.085</v>
      </c>
      <c r="M77" s="247">
        <f>NOMINA!G6</f>
        <v>0.12</v>
      </c>
      <c r="N77" s="246">
        <f>NOMINA!H6</f>
        <v>0.0052</v>
      </c>
      <c r="O77" s="246" t="str">
        <f>NOMINA!I6</f>
        <v>-</v>
      </c>
      <c r="P77" s="245">
        <f>NOMINA!J6</f>
        <v>3354750</v>
      </c>
      <c r="Q77" s="245">
        <f>NOMINA!K6</f>
        <v>3354750</v>
      </c>
    </row>
    <row r="78">
      <c r="B78" s="82" t="s">
        <v>251</v>
      </c>
      <c r="C78" s="18"/>
      <c r="D78" s="83">
        <f>Q83</f>
        <v>24661395</v>
      </c>
      <c r="E78" s="83">
        <f>D78*12</f>
        <v>295936740</v>
      </c>
      <c r="G78" s="177" t="s">
        <v>252</v>
      </c>
      <c r="H78" s="202">
        <f>NOMINA!B7</f>
        <v>1</v>
      </c>
      <c r="I78" s="245">
        <f>NOMINA!C7</f>
        <v>1600000</v>
      </c>
      <c r="J78" s="246">
        <f>NOMINA!D7</f>
        <v>0.0417</v>
      </c>
      <c r="K78" s="247">
        <f>NOMINA!E7</f>
        <v>0.09</v>
      </c>
      <c r="L78" s="248">
        <f>NOMINA!F7</f>
        <v>0.085</v>
      </c>
      <c r="M78" s="247">
        <f>NOMINA!G7</f>
        <v>0.12</v>
      </c>
      <c r="N78" s="246">
        <f>NOMINA!H7</f>
        <v>0.0052</v>
      </c>
      <c r="O78" s="249">
        <f>NOMINA!I7</f>
        <v>162000</v>
      </c>
      <c r="P78" s="245">
        <f>NOMINA!J7</f>
        <v>2309040</v>
      </c>
      <c r="Q78" s="245">
        <f>NOMINA!K7</f>
        <v>2309040</v>
      </c>
    </row>
    <row r="79">
      <c r="B79" s="250" t="s">
        <v>253</v>
      </c>
      <c r="C79" s="101"/>
      <c r="D79" s="83">
        <f>'COSTO MATERIA PRIMA'!B66+'COSTO MATERIA PRIMA'!C66+'COSTO MATERIA PRIMA'!D66</f>
        <v>0</v>
      </c>
      <c r="E79" s="83">
        <f>'ESTADO DE RESULTADOS'!C14</f>
        <v>856262061.8</v>
      </c>
      <c r="G79" s="177" t="s">
        <v>254</v>
      </c>
      <c r="H79" s="202">
        <f>NOMINA!B8</f>
        <v>5</v>
      </c>
      <c r="I79" s="245">
        <f>NOMINA!C8</f>
        <v>1300000</v>
      </c>
      <c r="J79" s="246">
        <f>NOMINA!D8</f>
        <v>0.0417</v>
      </c>
      <c r="K79" s="247">
        <f>NOMINA!E8</f>
        <v>0.09</v>
      </c>
      <c r="L79" s="248">
        <f>NOMINA!F8</f>
        <v>0.085</v>
      </c>
      <c r="M79" s="247">
        <f>NOMINA!G8</f>
        <v>0.12</v>
      </c>
      <c r="N79" s="246">
        <f>NOMINA!H8</f>
        <v>0.0052</v>
      </c>
      <c r="O79" s="249">
        <f>NOMINA!I8</f>
        <v>162000</v>
      </c>
      <c r="P79" s="245">
        <f>NOMINA!J8</f>
        <v>1906470</v>
      </c>
      <c r="Q79" s="245">
        <f>NOMINA!K8</f>
        <v>9532350</v>
      </c>
    </row>
    <row r="80">
      <c r="B80" s="251" t="s">
        <v>255</v>
      </c>
      <c r="C80" s="252"/>
      <c r="D80" s="83">
        <f t="shared" ref="D80:E80" si="25">D73</f>
        <v>8025060</v>
      </c>
      <c r="E80" s="83">
        <f t="shared" si="25"/>
        <v>96300720</v>
      </c>
      <c r="G80" s="177" t="s">
        <v>256</v>
      </c>
      <c r="H80" s="202">
        <f>NOMINA!B9</f>
        <v>1</v>
      </c>
      <c r="I80" s="245">
        <f>NOMINA!C9</f>
        <v>650000</v>
      </c>
      <c r="J80" s="246">
        <f>NOMINA!D9</f>
        <v>0.0417</v>
      </c>
      <c r="K80" s="247">
        <f>NOMINA!E9</f>
        <v>0.09</v>
      </c>
      <c r="L80" s="248">
        <f>NOMINA!F9</f>
        <v>0.085</v>
      </c>
      <c r="M80" s="247">
        <f>NOMINA!G9</f>
        <v>0.12</v>
      </c>
      <c r="N80" s="246">
        <f>NOMINA!H9</f>
        <v>0.0052</v>
      </c>
      <c r="O80" s="249">
        <f>NOMINA!I9</f>
        <v>162000</v>
      </c>
      <c r="P80" s="245">
        <f>NOMINA!J9</f>
        <v>1034235</v>
      </c>
      <c r="Q80" s="245">
        <f>NOMINA!K9</f>
        <v>1034235</v>
      </c>
    </row>
    <row r="81">
      <c r="B81" s="243" t="s">
        <v>257</v>
      </c>
      <c r="C81" s="18"/>
      <c r="D81" s="253">
        <f t="shared" ref="D81:E81" si="26">SUM(D78:D80)</f>
        <v>32686455</v>
      </c>
      <c r="E81" s="253">
        <f t="shared" si="26"/>
        <v>1248499522</v>
      </c>
      <c r="G81" s="177" t="s">
        <v>258</v>
      </c>
      <c r="H81" s="202">
        <f>NOMINA!B14</f>
        <v>2</v>
      </c>
      <c r="I81" s="245">
        <f>NOMINA!C14</f>
        <v>1600000</v>
      </c>
      <c r="J81" s="246">
        <f>NOMINA!D14</f>
        <v>0.0417</v>
      </c>
      <c r="K81" s="247">
        <f>NOMINA!E14</f>
        <v>0.09</v>
      </c>
      <c r="L81" s="248">
        <f>NOMINA!F14</f>
        <v>0.085</v>
      </c>
      <c r="M81" s="247">
        <f>NOMINA!G14</f>
        <v>0.12</v>
      </c>
      <c r="N81" s="246">
        <f>NOMINA!H14</f>
        <v>0.0052</v>
      </c>
      <c r="O81" s="249">
        <f>NOMINA!I14</f>
        <v>162000</v>
      </c>
      <c r="P81" s="245">
        <f>NOMINA!J14</f>
        <v>2309040</v>
      </c>
      <c r="Q81" s="245">
        <f>NOMINA!K14</f>
        <v>4618080</v>
      </c>
    </row>
    <row r="82">
      <c r="G82" s="177" t="s">
        <v>259</v>
      </c>
      <c r="H82" s="202">
        <f>NOMINA!B15</f>
        <v>2</v>
      </c>
      <c r="I82" s="245">
        <f>NOMINA!C15</f>
        <v>1300000</v>
      </c>
      <c r="J82" s="246">
        <f>NOMINA!D15</f>
        <v>0.0417</v>
      </c>
      <c r="K82" s="247">
        <f>NOMINA!E15</f>
        <v>0.09</v>
      </c>
      <c r="L82" s="248">
        <f>NOMINA!F15</f>
        <v>0.085</v>
      </c>
      <c r="M82" s="247">
        <f>NOMINA!G15</f>
        <v>0.12</v>
      </c>
      <c r="N82" s="246">
        <f>NOMINA!H15</f>
        <v>0.0052</v>
      </c>
      <c r="O82" s="249">
        <f>NOMINA!I15</f>
        <v>162000</v>
      </c>
      <c r="P82" s="245">
        <f>NOMINA!J15</f>
        <v>1906470</v>
      </c>
      <c r="Q82" s="245">
        <f>NOMINA!K15</f>
        <v>3812940</v>
      </c>
    </row>
    <row r="83">
      <c r="B83" s="254" t="s">
        <v>260</v>
      </c>
      <c r="C83" s="18"/>
      <c r="D83" s="18"/>
      <c r="E83" s="19"/>
      <c r="Q83" s="212">
        <f>SUM(Q77:Q82)</f>
        <v>24661395</v>
      </c>
      <c r="R83" s="224">
        <f>Q83*12</f>
        <v>295936740</v>
      </c>
    </row>
    <row r="84">
      <c r="B84" s="255"/>
      <c r="C84" s="255"/>
      <c r="D84" s="255"/>
      <c r="E84" s="256"/>
    </row>
    <row r="85">
      <c r="B85" s="255"/>
      <c r="C85" s="255"/>
      <c r="D85" s="255"/>
      <c r="E85" s="256"/>
    </row>
    <row r="86">
      <c r="B86" s="257" t="s">
        <v>261</v>
      </c>
      <c r="C86" s="169"/>
      <c r="D86" s="258" t="s">
        <v>262</v>
      </c>
      <c r="E86" s="259" t="s">
        <v>263</v>
      </c>
    </row>
    <row r="87">
      <c r="B87" s="39"/>
      <c r="C87" s="260"/>
      <c r="D87" s="38"/>
      <c r="E87" s="38"/>
      <c r="G87" s="4">
        <v>3.0</v>
      </c>
    </row>
    <row r="88">
      <c r="B88" s="261" t="s">
        <v>264</v>
      </c>
      <c r="C88" s="121"/>
      <c r="D88" s="262">
        <f>D78+D80</f>
        <v>32686455</v>
      </c>
      <c r="E88" s="263">
        <f>(D88*G87)+D79</f>
        <v>98059365</v>
      </c>
    </row>
    <row r="89">
      <c r="B89" s="261" t="s">
        <v>265</v>
      </c>
      <c r="C89" s="121"/>
      <c r="D89" s="262">
        <f>E67/12</f>
        <v>24979602.33</v>
      </c>
      <c r="E89" s="263">
        <f>D89*G87</f>
        <v>74938806.99</v>
      </c>
    </row>
    <row r="90">
      <c r="B90" s="261" t="s">
        <v>266</v>
      </c>
      <c r="C90" s="121"/>
      <c r="D90" s="264"/>
      <c r="E90" s="263">
        <f>PRESTAMO!E16+PRESTAMO!E17+PRESTAMO!E18</f>
        <v>2310139.774</v>
      </c>
    </row>
    <row r="91">
      <c r="B91" s="261" t="s">
        <v>267</v>
      </c>
      <c r="C91" s="121"/>
      <c r="D91" s="262">
        <f>(+D32+D33+D34+D35+D36+D40)</f>
        <v>702708.9333</v>
      </c>
      <c r="E91" s="262">
        <f>D91*G87</f>
        <v>2108126.8</v>
      </c>
    </row>
    <row r="92">
      <c r="B92" s="193" t="s">
        <v>88</v>
      </c>
      <c r="C92" s="18"/>
      <c r="D92" s="265">
        <f t="shared" ref="D92:E92" si="27">SUM(D88:D91)</f>
        <v>58368766.26</v>
      </c>
      <c r="E92" s="265">
        <f t="shared" si="27"/>
        <v>177416438.6</v>
      </c>
    </row>
    <row r="95">
      <c r="B95" s="254" t="s">
        <v>268</v>
      </c>
      <c r="C95" s="18"/>
      <c r="D95" s="19"/>
      <c r="E95" s="101"/>
    </row>
    <row r="96">
      <c r="B96" s="266" t="s">
        <v>268</v>
      </c>
      <c r="C96" s="119"/>
      <c r="D96" s="267" t="s">
        <v>141</v>
      </c>
      <c r="E96" s="101"/>
    </row>
    <row r="97">
      <c r="B97" s="171"/>
      <c r="D97" s="38"/>
      <c r="E97" s="101"/>
    </row>
    <row r="98">
      <c r="B98" s="82" t="s">
        <v>269</v>
      </c>
      <c r="C98" s="252"/>
      <c r="D98" s="83">
        <f>INVERSIONES!D76</f>
        <v>57795557</v>
      </c>
      <c r="E98" s="101"/>
    </row>
    <row r="99">
      <c r="B99" s="82" t="s">
        <v>146</v>
      </c>
      <c r="C99" s="252"/>
      <c r="D99" s="83">
        <f>INVERSIONES!D84</f>
        <v>6819500</v>
      </c>
      <c r="E99" s="101"/>
    </row>
    <row r="100">
      <c r="B100" s="82" t="s">
        <v>270</v>
      </c>
      <c r="C100" s="252"/>
      <c r="D100" s="83">
        <f>E92</f>
        <v>177416438.6</v>
      </c>
      <c r="E100" s="268"/>
    </row>
    <row r="101">
      <c r="B101" s="269" t="s">
        <v>82</v>
      </c>
      <c r="C101" s="18"/>
      <c r="D101" s="270">
        <f>SUM(D98:D100)</f>
        <v>242031495.6</v>
      </c>
      <c r="E101" s="101"/>
    </row>
    <row r="102">
      <c r="B102" s="101"/>
      <c r="C102" s="101"/>
      <c r="D102" s="101"/>
      <c r="E102" s="101"/>
    </row>
    <row r="103">
      <c r="B103" s="101"/>
      <c r="C103" s="271"/>
      <c r="D103" s="101"/>
      <c r="E103" s="101"/>
    </row>
    <row r="104">
      <c r="B104" s="272" t="s">
        <v>268</v>
      </c>
      <c r="C104" s="83">
        <f>D101</f>
        <v>242031495.6</v>
      </c>
      <c r="D104" s="101"/>
    </row>
    <row r="105">
      <c r="B105" s="82" t="s">
        <v>271</v>
      </c>
      <c r="C105" s="83">
        <f>C104-C106</f>
        <v>162031495.6</v>
      </c>
      <c r="D105" s="273">
        <f>C105/D101</f>
        <v>0.6694645058</v>
      </c>
      <c r="E105" s="101"/>
    </row>
    <row r="106">
      <c r="B106" s="82" t="s">
        <v>272</v>
      </c>
      <c r="C106" s="274">
        <f>PRESTAMO!D7</f>
        <v>80000000</v>
      </c>
      <c r="D106" s="275"/>
      <c r="E106" s="101"/>
    </row>
  </sheetData>
  <mergeCells count="72">
    <mergeCell ref="B72:C72"/>
    <mergeCell ref="B73:C73"/>
    <mergeCell ref="B75:E75"/>
    <mergeCell ref="G75:G76"/>
    <mergeCell ref="H75:Q75"/>
    <mergeCell ref="B77:C77"/>
    <mergeCell ref="B78:C78"/>
    <mergeCell ref="B60:C60"/>
    <mergeCell ref="B61:C61"/>
    <mergeCell ref="B62:C62"/>
    <mergeCell ref="B63:C63"/>
    <mergeCell ref="B67:D67"/>
    <mergeCell ref="B68:E68"/>
    <mergeCell ref="B70:C70"/>
    <mergeCell ref="B96:C97"/>
    <mergeCell ref="D96:D97"/>
    <mergeCell ref="B101:C101"/>
    <mergeCell ref="D104:E104"/>
    <mergeCell ref="B81:C81"/>
    <mergeCell ref="B83:E83"/>
    <mergeCell ref="B86:C87"/>
    <mergeCell ref="D86:D87"/>
    <mergeCell ref="E86:E87"/>
    <mergeCell ref="B92:C92"/>
    <mergeCell ref="B95:D95"/>
    <mergeCell ref="S6:S7"/>
    <mergeCell ref="T6:T7"/>
    <mergeCell ref="L13:S13"/>
    <mergeCell ref="B4:J4"/>
    <mergeCell ref="L6:M7"/>
    <mergeCell ref="N6:N7"/>
    <mergeCell ref="O6:O7"/>
    <mergeCell ref="P6:P7"/>
    <mergeCell ref="Q6:Q7"/>
    <mergeCell ref="R6:R7"/>
    <mergeCell ref="I7:J7"/>
    <mergeCell ref="B7:B8"/>
    <mergeCell ref="C7:D7"/>
    <mergeCell ref="H7:H8"/>
    <mergeCell ref="H16:H17"/>
    <mergeCell ref="I16:I17"/>
    <mergeCell ref="J16:K16"/>
    <mergeCell ref="B17:B18"/>
    <mergeCell ref="C17:C18"/>
    <mergeCell ref="D17:E17"/>
    <mergeCell ref="B27:E27"/>
    <mergeCell ref="B29:C29"/>
    <mergeCell ref="J30:M30"/>
    <mergeCell ref="O30:O31"/>
    <mergeCell ref="P30:Y30"/>
    <mergeCell ref="O34:X34"/>
    <mergeCell ref="B30:C30"/>
    <mergeCell ref="B31:C31"/>
    <mergeCell ref="B32:C32"/>
    <mergeCell ref="B33:C33"/>
    <mergeCell ref="B34:C34"/>
    <mergeCell ref="B35:C35"/>
    <mergeCell ref="B36:C36"/>
    <mergeCell ref="B37:C37"/>
    <mergeCell ref="B38:C38"/>
    <mergeCell ref="B39:C39"/>
    <mergeCell ref="B40:C40"/>
    <mergeCell ref="B41:C41"/>
    <mergeCell ref="B42:C42"/>
    <mergeCell ref="B46:D46"/>
    <mergeCell ref="B49:B50"/>
    <mergeCell ref="C49:L49"/>
    <mergeCell ref="B54:K54"/>
    <mergeCell ref="B57:E57"/>
    <mergeCell ref="G57:G58"/>
    <mergeCell ref="H57:Q57"/>
    <mergeCell ref="B59:C59"/>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4">
      <c r="B4" s="86" t="s">
        <v>273</v>
      </c>
      <c r="C4" s="18"/>
      <c r="D4" s="18"/>
      <c r="E4" s="19"/>
    </row>
    <row r="5">
      <c r="B5" s="101"/>
      <c r="C5" s="101"/>
      <c r="D5" s="101"/>
      <c r="E5" s="101"/>
    </row>
    <row r="6">
      <c r="B6" s="101"/>
      <c r="C6" s="101"/>
      <c r="D6" s="101"/>
      <c r="E6" s="101"/>
    </row>
    <row r="7">
      <c r="B7" s="86" t="s">
        <v>274</v>
      </c>
      <c r="C7" s="19"/>
      <c r="D7" s="191">
        <v>8.0E7</v>
      </c>
      <c r="E7" s="276"/>
    </row>
    <row r="8">
      <c r="B8" s="86" t="s">
        <v>275</v>
      </c>
      <c r="C8" s="19"/>
      <c r="D8" s="202">
        <v>60.0</v>
      </c>
      <c r="E8" s="202" t="s">
        <v>276</v>
      </c>
    </row>
    <row r="9">
      <c r="B9" s="86" t="s">
        <v>277</v>
      </c>
      <c r="C9" s="19"/>
      <c r="D9" s="246">
        <v>0.0178</v>
      </c>
      <c r="E9" s="202" t="s">
        <v>278</v>
      </c>
    </row>
    <row r="10">
      <c r="B10" s="86" t="s">
        <v>279</v>
      </c>
      <c r="C10" s="19"/>
      <c r="D10" s="124">
        <f>-PMT(D9,D8,D7)</f>
        <v>2180500.977</v>
      </c>
      <c r="E10" s="202" t="s">
        <v>278</v>
      </c>
    </row>
    <row r="14">
      <c r="B14" s="216" t="s">
        <v>280</v>
      </c>
      <c r="C14" s="216" t="s">
        <v>281</v>
      </c>
      <c r="D14" s="216" t="s">
        <v>282</v>
      </c>
      <c r="E14" s="277" t="s">
        <v>283</v>
      </c>
      <c r="F14" s="216" t="s">
        <v>284</v>
      </c>
      <c r="G14" s="101"/>
      <c r="H14" s="278" t="s">
        <v>285</v>
      </c>
      <c r="I14" s="278" t="s">
        <v>286</v>
      </c>
      <c r="J14" s="278" t="s">
        <v>287</v>
      </c>
      <c r="K14" s="279" t="s">
        <v>288</v>
      </c>
      <c r="L14" s="278" t="s">
        <v>284</v>
      </c>
    </row>
    <row r="15">
      <c r="B15" s="202">
        <v>0.0</v>
      </c>
      <c r="C15" s="276"/>
      <c r="D15" s="276"/>
      <c r="E15" s="276"/>
      <c r="F15" s="280">
        <f>D7</f>
        <v>80000000</v>
      </c>
      <c r="G15" s="101"/>
      <c r="H15" s="202">
        <v>1.0</v>
      </c>
      <c r="I15" s="281">
        <f t="shared" ref="I15:K15" si="1">SUM(C16:C27)</f>
        <v>26166011.73</v>
      </c>
      <c r="J15" s="281">
        <f t="shared" si="1"/>
        <v>16144357.58</v>
      </c>
      <c r="K15" s="281">
        <f t="shared" si="1"/>
        <v>10021654.15</v>
      </c>
      <c r="L15" s="281">
        <f>F27</f>
        <v>69978345.85</v>
      </c>
    </row>
    <row r="16">
      <c r="B16" s="202">
        <v>1.0</v>
      </c>
      <c r="C16" s="281">
        <f>D10</f>
        <v>2180500.977</v>
      </c>
      <c r="D16" s="281">
        <f t="shared" ref="D16:D75" si="2">F15*$D$9</f>
        <v>1424000</v>
      </c>
      <c r="E16" s="281">
        <f t="shared" ref="E16:E75" si="3">C16-D16</f>
        <v>756500.9773</v>
      </c>
      <c r="F16" s="281">
        <f t="shared" ref="F16:F75" si="4">F15-E16</f>
        <v>79243499.02</v>
      </c>
      <c r="G16" s="101"/>
      <c r="H16" s="202">
        <v>2.0</v>
      </c>
      <c r="I16" s="281">
        <f t="shared" ref="I16:I19" si="5">I15</f>
        <v>26166011.73</v>
      </c>
      <c r="J16" s="281">
        <f>SUM(D28:D39)</f>
        <v>13781218.24</v>
      </c>
      <c r="K16" s="281">
        <f t="shared" ref="K16:K19" si="6">I16-J16</f>
        <v>12384793.49</v>
      </c>
      <c r="L16" s="281">
        <f>F39</f>
        <v>57593552.36</v>
      </c>
    </row>
    <row r="17">
      <c r="B17" s="202">
        <v>2.0</v>
      </c>
      <c r="C17" s="282">
        <f t="shared" ref="C17:C75" si="7">C16</f>
        <v>2180500.977</v>
      </c>
      <c r="D17" s="281">
        <f t="shared" si="2"/>
        <v>1410534.283</v>
      </c>
      <c r="E17" s="281">
        <f t="shared" si="3"/>
        <v>769966.6947</v>
      </c>
      <c r="F17" s="281">
        <f t="shared" si="4"/>
        <v>78473532.33</v>
      </c>
      <c r="G17" s="101"/>
      <c r="H17" s="202">
        <v>3.0</v>
      </c>
      <c r="I17" s="281">
        <f t="shared" si="5"/>
        <v>26166011.73</v>
      </c>
      <c r="J17" s="281">
        <f>SUM(D40:D51)</f>
        <v>10860842.79</v>
      </c>
      <c r="K17" s="281">
        <f t="shared" si="6"/>
        <v>15305168.94</v>
      </c>
      <c r="L17" s="281">
        <f>F51</f>
        <v>42288383.42</v>
      </c>
    </row>
    <row r="18">
      <c r="B18" s="202">
        <v>3.0</v>
      </c>
      <c r="C18" s="282">
        <f t="shared" si="7"/>
        <v>2180500.977</v>
      </c>
      <c r="D18" s="281">
        <f t="shared" si="2"/>
        <v>1396828.875</v>
      </c>
      <c r="E18" s="281">
        <f t="shared" si="3"/>
        <v>783672.1019</v>
      </c>
      <c r="F18" s="281">
        <f t="shared" si="4"/>
        <v>77689860.23</v>
      </c>
      <c r="G18" s="101"/>
      <c r="H18" s="202">
        <v>4.0</v>
      </c>
      <c r="I18" s="281">
        <f t="shared" si="5"/>
        <v>26166011.73</v>
      </c>
      <c r="J18" s="281">
        <f>SUM(D52:D63)</f>
        <v>7251833.099</v>
      </c>
      <c r="K18" s="281">
        <f t="shared" si="6"/>
        <v>18914178.63</v>
      </c>
      <c r="L18" s="281">
        <f>F63</f>
        <v>23374204.79</v>
      </c>
    </row>
    <row r="19">
      <c r="B19" s="202">
        <v>4.0</v>
      </c>
      <c r="C19" s="282">
        <f t="shared" si="7"/>
        <v>2180500.977</v>
      </c>
      <c r="D19" s="281">
        <f t="shared" si="2"/>
        <v>1382879.512</v>
      </c>
      <c r="E19" s="281">
        <f t="shared" si="3"/>
        <v>797621.4653</v>
      </c>
      <c r="F19" s="281">
        <f t="shared" si="4"/>
        <v>76892238.76</v>
      </c>
      <c r="G19" s="101"/>
      <c r="H19" s="202">
        <v>5.0</v>
      </c>
      <c r="I19" s="281">
        <f t="shared" si="5"/>
        <v>26166011.73</v>
      </c>
      <c r="J19" s="281">
        <f>SUM(D64:D75)</f>
        <v>2791806.939</v>
      </c>
      <c r="K19" s="281">
        <f t="shared" si="6"/>
        <v>23374204.79</v>
      </c>
      <c r="L19" s="281">
        <f>F75</f>
        <v>0.0000002779997885</v>
      </c>
    </row>
    <row r="20">
      <c r="B20" s="202">
        <v>5.0</v>
      </c>
      <c r="C20" s="282">
        <f t="shared" si="7"/>
        <v>2180500.977</v>
      </c>
      <c r="D20" s="281">
        <f t="shared" si="2"/>
        <v>1368681.85</v>
      </c>
      <c r="E20" s="281">
        <f t="shared" si="3"/>
        <v>811819.1274</v>
      </c>
      <c r="F20" s="281">
        <f t="shared" si="4"/>
        <v>76080419.63</v>
      </c>
      <c r="G20" s="101"/>
      <c r="H20" s="173" t="s">
        <v>82</v>
      </c>
      <c r="I20" s="283">
        <f t="shared" ref="I20:K20" si="8">SUM(I15:I19)</f>
        <v>130830058.6</v>
      </c>
      <c r="J20" s="283">
        <f t="shared" si="8"/>
        <v>50830058.64</v>
      </c>
      <c r="K20" s="283">
        <f t="shared" si="8"/>
        <v>80000000</v>
      </c>
      <c r="L20" s="284"/>
    </row>
    <row r="21">
      <c r="B21" s="202">
        <v>6.0</v>
      </c>
      <c r="C21" s="282">
        <f t="shared" si="7"/>
        <v>2180500.977</v>
      </c>
      <c r="D21" s="281">
        <f t="shared" si="2"/>
        <v>1354231.469</v>
      </c>
      <c r="E21" s="281">
        <f t="shared" si="3"/>
        <v>826269.5079</v>
      </c>
      <c r="F21" s="281">
        <f t="shared" si="4"/>
        <v>75254150.13</v>
      </c>
      <c r="G21" s="101"/>
      <c r="H21" s="101"/>
      <c r="I21" s="101"/>
      <c r="J21" s="101"/>
      <c r="K21" s="101"/>
      <c r="L21" s="101"/>
    </row>
    <row r="22">
      <c r="B22" s="202">
        <v>7.0</v>
      </c>
      <c r="C22" s="282">
        <f t="shared" si="7"/>
        <v>2180500.977</v>
      </c>
      <c r="D22" s="281">
        <f t="shared" si="2"/>
        <v>1339523.872</v>
      </c>
      <c r="E22" s="281">
        <f t="shared" si="3"/>
        <v>840977.1051</v>
      </c>
      <c r="F22" s="281">
        <f t="shared" si="4"/>
        <v>74413173.02</v>
      </c>
      <c r="G22" s="101"/>
      <c r="H22" s="101"/>
      <c r="I22" s="101"/>
      <c r="J22" s="101"/>
      <c r="K22" s="101"/>
      <c r="L22" s="101"/>
    </row>
    <row r="23">
      <c r="B23" s="202">
        <v>8.0</v>
      </c>
      <c r="C23" s="282">
        <f t="shared" si="7"/>
        <v>2180500.977</v>
      </c>
      <c r="D23" s="281">
        <f t="shared" si="2"/>
        <v>1324554.48</v>
      </c>
      <c r="E23" s="281">
        <f t="shared" si="3"/>
        <v>855946.4976</v>
      </c>
      <c r="F23" s="281">
        <f t="shared" si="4"/>
        <v>73557226.52</v>
      </c>
      <c r="G23" s="101"/>
      <c r="H23" s="101"/>
      <c r="I23" s="101"/>
      <c r="J23" s="101"/>
      <c r="K23" s="101"/>
      <c r="L23" s="101"/>
    </row>
    <row r="24">
      <c r="B24" s="202">
        <v>9.0</v>
      </c>
      <c r="C24" s="282">
        <f t="shared" si="7"/>
        <v>2180500.977</v>
      </c>
      <c r="D24" s="281">
        <f t="shared" si="2"/>
        <v>1309318.632</v>
      </c>
      <c r="E24" s="281">
        <f t="shared" si="3"/>
        <v>871182.3452</v>
      </c>
      <c r="F24" s="281">
        <f t="shared" si="4"/>
        <v>72686044.18</v>
      </c>
      <c r="G24" s="101"/>
      <c r="H24" s="101"/>
      <c r="I24" s="101"/>
      <c r="J24" s="101"/>
      <c r="K24" s="101"/>
      <c r="L24" s="101"/>
    </row>
    <row r="25">
      <c r="B25" s="202">
        <v>10.0</v>
      </c>
      <c r="C25" s="282">
        <f t="shared" si="7"/>
        <v>2180500.977</v>
      </c>
      <c r="D25" s="281">
        <f t="shared" si="2"/>
        <v>1293811.586</v>
      </c>
      <c r="E25" s="281">
        <f t="shared" si="3"/>
        <v>886689.391</v>
      </c>
      <c r="F25" s="281">
        <f t="shared" si="4"/>
        <v>71799354.79</v>
      </c>
      <c r="G25" s="101"/>
      <c r="H25" s="101"/>
      <c r="I25" s="101"/>
      <c r="J25" s="101"/>
      <c r="K25" s="101"/>
      <c r="L25" s="101"/>
    </row>
    <row r="26">
      <c r="B26" s="202">
        <v>11.0</v>
      </c>
      <c r="C26" s="282">
        <f t="shared" si="7"/>
        <v>2180500.977</v>
      </c>
      <c r="D26" s="281">
        <f t="shared" si="2"/>
        <v>1278028.515</v>
      </c>
      <c r="E26" s="281">
        <f t="shared" si="3"/>
        <v>902472.4621</v>
      </c>
      <c r="F26" s="281">
        <f t="shared" si="4"/>
        <v>70896882.32</v>
      </c>
      <c r="G26" s="101"/>
      <c r="H26" s="101"/>
      <c r="I26" s="101"/>
      <c r="J26" s="101"/>
      <c r="K26" s="101"/>
      <c r="L26" s="101"/>
    </row>
    <row r="27">
      <c r="B27" s="202">
        <v>12.0</v>
      </c>
      <c r="C27" s="282">
        <f t="shared" si="7"/>
        <v>2180500.977</v>
      </c>
      <c r="D27" s="281">
        <f t="shared" si="2"/>
        <v>1261964.505</v>
      </c>
      <c r="E27" s="281">
        <f t="shared" si="3"/>
        <v>918536.472</v>
      </c>
      <c r="F27" s="281">
        <f t="shared" si="4"/>
        <v>69978345.85</v>
      </c>
      <c r="G27" s="101"/>
      <c r="H27" s="101"/>
      <c r="I27" s="101"/>
      <c r="J27" s="101"/>
      <c r="K27" s="101"/>
      <c r="L27" s="101"/>
    </row>
    <row r="28">
      <c r="B28" s="202">
        <v>13.0</v>
      </c>
      <c r="C28" s="282">
        <f t="shared" si="7"/>
        <v>2180500.977</v>
      </c>
      <c r="D28" s="281">
        <f t="shared" si="2"/>
        <v>1245614.556</v>
      </c>
      <c r="E28" s="281">
        <f t="shared" si="3"/>
        <v>934886.4212</v>
      </c>
      <c r="F28" s="281">
        <f t="shared" si="4"/>
        <v>69043459.43</v>
      </c>
      <c r="G28" s="101"/>
      <c r="H28" s="101"/>
      <c r="I28" s="101"/>
      <c r="J28" s="101"/>
      <c r="K28" s="101"/>
      <c r="L28" s="101"/>
    </row>
    <row r="29">
      <c r="B29" s="202">
        <v>14.0</v>
      </c>
      <c r="C29" s="282">
        <f t="shared" si="7"/>
        <v>2180500.977</v>
      </c>
      <c r="D29" s="281">
        <f t="shared" si="2"/>
        <v>1228973.578</v>
      </c>
      <c r="E29" s="281">
        <f t="shared" si="3"/>
        <v>951527.3995</v>
      </c>
      <c r="F29" s="281">
        <f t="shared" si="4"/>
        <v>68091932.03</v>
      </c>
      <c r="G29" s="101"/>
      <c r="H29" s="101"/>
      <c r="I29" s="101"/>
      <c r="J29" s="101"/>
      <c r="K29" s="101"/>
      <c r="L29" s="101"/>
    </row>
    <row r="30">
      <c r="B30" s="202">
        <v>15.0</v>
      </c>
      <c r="C30" s="282">
        <f t="shared" si="7"/>
        <v>2180500.977</v>
      </c>
      <c r="D30" s="281">
        <f t="shared" si="2"/>
        <v>1212036.39</v>
      </c>
      <c r="E30" s="281">
        <f t="shared" si="3"/>
        <v>968464.5872</v>
      </c>
      <c r="F30" s="281">
        <f t="shared" si="4"/>
        <v>67123467.44</v>
      </c>
      <c r="G30" s="101"/>
      <c r="H30" s="101"/>
      <c r="I30" s="101"/>
      <c r="J30" s="101"/>
      <c r="K30" s="101"/>
      <c r="L30" s="101"/>
    </row>
    <row r="31">
      <c r="B31" s="202">
        <v>16.0</v>
      </c>
      <c r="C31" s="282">
        <f t="shared" si="7"/>
        <v>2180500.977</v>
      </c>
      <c r="D31" s="281">
        <f t="shared" si="2"/>
        <v>1194797.721</v>
      </c>
      <c r="E31" s="281">
        <f t="shared" si="3"/>
        <v>985703.2568</v>
      </c>
      <c r="F31" s="281">
        <f t="shared" si="4"/>
        <v>66137764.19</v>
      </c>
      <c r="G31" s="101"/>
      <c r="H31" s="101"/>
      <c r="I31" s="101"/>
      <c r="J31" s="101"/>
      <c r="K31" s="101"/>
      <c r="L31" s="101"/>
    </row>
    <row r="32">
      <c r="B32" s="202">
        <v>17.0</v>
      </c>
      <c r="C32" s="282">
        <f t="shared" si="7"/>
        <v>2180500.977</v>
      </c>
      <c r="D32" s="281">
        <f t="shared" si="2"/>
        <v>1177252.203</v>
      </c>
      <c r="E32" s="281">
        <f t="shared" si="3"/>
        <v>1003248.775</v>
      </c>
      <c r="F32" s="281">
        <f t="shared" si="4"/>
        <v>65134515.41</v>
      </c>
      <c r="G32" s="101"/>
      <c r="H32" s="101"/>
      <c r="I32" s="101"/>
      <c r="J32" s="101"/>
      <c r="K32" s="101"/>
      <c r="L32" s="101"/>
    </row>
    <row r="33">
      <c r="B33" s="202">
        <v>18.0</v>
      </c>
      <c r="C33" s="282">
        <f t="shared" si="7"/>
        <v>2180500.977</v>
      </c>
      <c r="D33" s="281">
        <f t="shared" si="2"/>
        <v>1159394.374</v>
      </c>
      <c r="E33" s="281">
        <f t="shared" si="3"/>
        <v>1021106.603</v>
      </c>
      <c r="F33" s="281">
        <f t="shared" si="4"/>
        <v>64113408.81</v>
      </c>
      <c r="G33" s="101"/>
      <c r="H33" s="101"/>
      <c r="I33" s="101"/>
      <c r="J33" s="101"/>
      <c r="K33" s="101"/>
      <c r="L33" s="101"/>
    </row>
    <row r="34">
      <c r="B34" s="202">
        <v>19.0</v>
      </c>
      <c r="C34" s="282">
        <f t="shared" si="7"/>
        <v>2180500.977</v>
      </c>
      <c r="D34" s="281">
        <f t="shared" si="2"/>
        <v>1141218.677</v>
      </c>
      <c r="E34" s="281">
        <f t="shared" si="3"/>
        <v>1039282.301</v>
      </c>
      <c r="F34" s="281">
        <f t="shared" si="4"/>
        <v>63074126.51</v>
      </c>
      <c r="G34" s="101"/>
      <c r="H34" s="101"/>
      <c r="I34" s="101"/>
      <c r="J34" s="101"/>
      <c r="K34" s="101"/>
      <c r="L34" s="101"/>
    </row>
    <row r="35">
      <c r="B35" s="202">
        <v>20.0</v>
      </c>
      <c r="C35" s="282">
        <f t="shared" si="7"/>
        <v>2180500.977</v>
      </c>
      <c r="D35" s="281">
        <f t="shared" si="2"/>
        <v>1122719.452</v>
      </c>
      <c r="E35" s="281">
        <f t="shared" si="3"/>
        <v>1057781.525</v>
      </c>
      <c r="F35" s="281">
        <f t="shared" si="4"/>
        <v>62016344.98</v>
      </c>
      <c r="G35" s="101"/>
      <c r="H35" s="101"/>
      <c r="I35" s="101"/>
      <c r="J35" s="101"/>
      <c r="K35" s="101"/>
      <c r="L35" s="101"/>
    </row>
    <row r="36">
      <c r="B36" s="202">
        <v>21.0</v>
      </c>
      <c r="C36" s="282">
        <f t="shared" si="7"/>
        <v>2180500.977</v>
      </c>
      <c r="D36" s="281">
        <f t="shared" si="2"/>
        <v>1103890.941</v>
      </c>
      <c r="E36" s="281">
        <f t="shared" si="3"/>
        <v>1076610.037</v>
      </c>
      <c r="F36" s="281">
        <f t="shared" si="4"/>
        <v>60939734.95</v>
      </c>
      <c r="G36" s="101"/>
      <c r="H36" s="101"/>
      <c r="I36" s="101"/>
      <c r="J36" s="101"/>
      <c r="K36" s="101"/>
      <c r="L36" s="101"/>
    </row>
    <row r="37">
      <c r="B37" s="202">
        <v>22.0</v>
      </c>
      <c r="C37" s="282">
        <f t="shared" si="7"/>
        <v>2180500.977</v>
      </c>
      <c r="D37" s="281">
        <f t="shared" si="2"/>
        <v>1084727.282</v>
      </c>
      <c r="E37" s="281">
        <f t="shared" si="3"/>
        <v>1095773.695</v>
      </c>
      <c r="F37" s="281">
        <f t="shared" si="4"/>
        <v>59843961.25</v>
      </c>
      <c r="G37" s="101"/>
      <c r="H37" s="101"/>
      <c r="I37" s="101"/>
      <c r="J37" s="101"/>
      <c r="K37" s="101"/>
      <c r="L37" s="101"/>
    </row>
    <row r="38">
      <c r="B38" s="202">
        <v>23.0</v>
      </c>
      <c r="C38" s="282">
        <f t="shared" si="7"/>
        <v>2180500.977</v>
      </c>
      <c r="D38" s="281">
        <f t="shared" si="2"/>
        <v>1065222.51</v>
      </c>
      <c r="E38" s="281">
        <f t="shared" si="3"/>
        <v>1115278.467</v>
      </c>
      <c r="F38" s="281">
        <f t="shared" si="4"/>
        <v>58728682.79</v>
      </c>
      <c r="G38" s="101"/>
      <c r="H38" s="101"/>
      <c r="I38" s="101"/>
      <c r="J38" s="101"/>
      <c r="K38" s="101"/>
      <c r="L38" s="101"/>
    </row>
    <row r="39">
      <c r="B39" s="202">
        <v>24.0</v>
      </c>
      <c r="C39" s="282">
        <f t="shared" si="7"/>
        <v>2180500.977</v>
      </c>
      <c r="D39" s="281">
        <f t="shared" si="2"/>
        <v>1045370.554</v>
      </c>
      <c r="E39" s="281">
        <f t="shared" si="3"/>
        <v>1135130.424</v>
      </c>
      <c r="F39" s="281">
        <f t="shared" si="4"/>
        <v>57593552.36</v>
      </c>
      <c r="G39" s="101"/>
      <c r="H39" s="101"/>
      <c r="I39" s="101"/>
      <c r="J39" s="101"/>
      <c r="K39" s="101"/>
      <c r="L39" s="101"/>
    </row>
    <row r="40">
      <c r="B40" s="202">
        <v>25.0</v>
      </c>
      <c r="C40" s="282">
        <f t="shared" si="7"/>
        <v>2180500.977</v>
      </c>
      <c r="D40" s="281">
        <f t="shared" si="2"/>
        <v>1025165.232</v>
      </c>
      <c r="E40" s="281">
        <f t="shared" si="3"/>
        <v>1155335.745</v>
      </c>
      <c r="F40" s="281">
        <f t="shared" si="4"/>
        <v>56438216.62</v>
      </c>
      <c r="G40" s="101"/>
      <c r="H40" s="101"/>
      <c r="I40" s="101"/>
      <c r="J40" s="101"/>
      <c r="K40" s="101"/>
      <c r="L40" s="101"/>
    </row>
    <row r="41">
      <c r="B41" s="202">
        <v>26.0</v>
      </c>
      <c r="C41" s="282">
        <f t="shared" si="7"/>
        <v>2180500.977</v>
      </c>
      <c r="D41" s="281">
        <f t="shared" si="2"/>
        <v>1004600.256</v>
      </c>
      <c r="E41" s="281">
        <f t="shared" si="3"/>
        <v>1175900.722</v>
      </c>
      <c r="F41" s="281">
        <f t="shared" si="4"/>
        <v>55262315.89</v>
      </c>
      <c r="G41" s="101"/>
      <c r="H41" s="101"/>
      <c r="I41" s="101"/>
      <c r="J41" s="101"/>
      <c r="K41" s="101"/>
      <c r="L41" s="101"/>
    </row>
    <row r="42">
      <c r="B42" s="202">
        <v>27.0</v>
      </c>
      <c r="C42" s="282">
        <f t="shared" si="7"/>
        <v>2180500.977</v>
      </c>
      <c r="D42" s="281">
        <f t="shared" si="2"/>
        <v>983669.2229</v>
      </c>
      <c r="E42" s="281">
        <f t="shared" si="3"/>
        <v>1196831.754</v>
      </c>
      <c r="F42" s="281">
        <f t="shared" si="4"/>
        <v>54065484.14</v>
      </c>
      <c r="G42" s="101"/>
      <c r="H42" s="101"/>
      <c r="I42" s="101"/>
      <c r="J42" s="101"/>
      <c r="K42" s="101"/>
      <c r="L42" s="101"/>
    </row>
    <row r="43">
      <c r="B43" s="202">
        <v>28.0</v>
      </c>
      <c r="C43" s="282">
        <f t="shared" si="7"/>
        <v>2180500.977</v>
      </c>
      <c r="D43" s="281">
        <f t="shared" si="2"/>
        <v>962365.6177</v>
      </c>
      <c r="E43" s="281">
        <f t="shared" si="3"/>
        <v>1218135.36</v>
      </c>
      <c r="F43" s="281">
        <f t="shared" si="4"/>
        <v>52847348.78</v>
      </c>
      <c r="G43" s="101"/>
      <c r="H43" s="101"/>
      <c r="I43" s="101"/>
      <c r="J43" s="101"/>
      <c r="K43" s="101"/>
      <c r="L43" s="101"/>
    </row>
    <row r="44">
      <c r="B44" s="202">
        <v>29.0</v>
      </c>
      <c r="C44" s="282">
        <f t="shared" si="7"/>
        <v>2180500.977</v>
      </c>
      <c r="D44" s="281">
        <f t="shared" si="2"/>
        <v>940682.8083</v>
      </c>
      <c r="E44" s="281">
        <f t="shared" si="3"/>
        <v>1239818.169</v>
      </c>
      <c r="F44" s="281">
        <f t="shared" si="4"/>
        <v>51607530.61</v>
      </c>
      <c r="G44" s="101"/>
      <c r="H44" s="101"/>
      <c r="I44" s="101"/>
      <c r="J44" s="101"/>
      <c r="K44" s="101"/>
      <c r="L44" s="101"/>
    </row>
    <row r="45">
      <c r="B45" s="202">
        <v>30.0</v>
      </c>
      <c r="C45" s="282">
        <f t="shared" si="7"/>
        <v>2180500.977</v>
      </c>
      <c r="D45" s="281">
        <f t="shared" si="2"/>
        <v>918614.0449</v>
      </c>
      <c r="E45" s="281">
        <f t="shared" si="3"/>
        <v>1261886.932</v>
      </c>
      <c r="F45" s="281">
        <f t="shared" si="4"/>
        <v>50345643.68</v>
      </c>
      <c r="G45" s="101"/>
      <c r="H45" s="101"/>
      <c r="I45" s="101"/>
      <c r="J45" s="101"/>
      <c r="K45" s="101"/>
      <c r="L45" s="101"/>
    </row>
    <row r="46">
      <c r="B46" s="202">
        <v>31.0</v>
      </c>
      <c r="C46" s="282">
        <f t="shared" si="7"/>
        <v>2180500.977</v>
      </c>
      <c r="D46" s="281">
        <f t="shared" si="2"/>
        <v>896152.4575</v>
      </c>
      <c r="E46" s="281">
        <f t="shared" si="3"/>
        <v>1284348.52</v>
      </c>
      <c r="F46" s="281">
        <f t="shared" si="4"/>
        <v>49061295.16</v>
      </c>
      <c r="G46" s="101"/>
      <c r="H46" s="101"/>
      <c r="I46" s="101"/>
      <c r="J46" s="101"/>
      <c r="K46" s="101"/>
      <c r="L46" s="101"/>
    </row>
    <row r="47">
      <c r="B47" s="202">
        <v>32.0</v>
      </c>
      <c r="C47" s="282">
        <f t="shared" si="7"/>
        <v>2180500.977</v>
      </c>
      <c r="D47" s="281">
        <f t="shared" si="2"/>
        <v>873291.0538</v>
      </c>
      <c r="E47" s="281">
        <f t="shared" si="3"/>
        <v>1307209.923</v>
      </c>
      <c r="F47" s="281">
        <f t="shared" si="4"/>
        <v>47754085.24</v>
      </c>
      <c r="G47" s="101"/>
      <c r="H47" s="101"/>
      <c r="I47" s="101"/>
      <c r="J47" s="101"/>
      <c r="K47" s="101"/>
      <c r="L47" s="101"/>
    </row>
    <row r="48">
      <c r="B48" s="202">
        <v>33.0</v>
      </c>
      <c r="C48" s="282">
        <f t="shared" si="7"/>
        <v>2180500.977</v>
      </c>
      <c r="D48" s="281">
        <f t="shared" si="2"/>
        <v>850022.7172</v>
      </c>
      <c r="E48" s="281">
        <f t="shared" si="3"/>
        <v>1330478.26</v>
      </c>
      <c r="F48" s="281">
        <f t="shared" si="4"/>
        <v>46423606.98</v>
      </c>
      <c r="G48" s="101"/>
      <c r="H48" s="101"/>
      <c r="I48" s="101"/>
      <c r="J48" s="101"/>
      <c r="K48" s="101"/>
      <c r="L48" s="101"/>
    </row>
    <row r="49">
      <c r="B49" s="202">
        <v>34.0</v>
      </c>
      <c r="C49" s="282">
        <f t="shared" si="7"/>
        <v>2180500.977</v>
      </c>
      <c r="D49" s="281">
        <f t="shared" si="2"/>
        <v>826340.2042</v>
      </c>
      <c r="E49" s="281">
        <f t="shared" si="3"/>
        <v>1354160.773</v>
      </c>
      <c r="F49" s="281">
        <f t="shared" si="4"/>
        <v>45069446.2</v>
      </c>
      <c r="G49" s="101"/>
      <c r="H49" s="101"/>
      <c r="I49" s="101"/>
      <c r="J49" s="101"/>
      <c r="K49" s="101"/>
      <c r="L49" s="101"/>
    </row>
    <row r="50">
      <c r="B50" s="202">
        <v>35.0</v>
      </c>
      <c r="C50" s="282">
        <f t="shared" si="7"/>
        <v>2180500.977</v>
      </c>
      <c r="D50" s="281">
        <f t="shared" si="2"/>
        <v>802236.1424</v>
      </c>
      <c r="E50" s="281">
        <f t="shared" si="3"/>
        <v>1378264.835</v>
      </c>
      <c r="F50" s="281">
        <f t="shared" si="4"/>
        <v>43691181.37</v>
      </c>
      <c r="G50" s="101"/>
      <c r="H50" s="101"/>
      <c r="I50" s="101"/>
      <c r="J50" s="101"/>
      <c r="K50" s="101"/>
      <c r="L50" s="101"/>
    </row>
    <row r="51">
      <c r="B51" s="202">
        <v>36.0</v>
      </c>
      <c r="C51" s="282">
        <f t="shared" si="7"/>
        <v>2180500.977</v>
      </c>
      <c r="D51" s="281">
        <f t="shared" si="2"/>
        <v>777703.0283</v>
      </c>
      <c r="E51" s="281">
        <f t="shared" si="3"/>
        <v>1402797.949</v>
      </c>
      <c r="F51" s="281">
        <f t="shared" si="4"/>
        <v>42288383.42</v>
      </c>
      <c r="G51" s="101"/>
      <c r="H51" s="101"/>
      <c r="I51" s="101"/>
      <c r="J51" s="101"/>
      <c r="K51" s="101"/>
      <c r="L51" s="101"/>
    </row>
    <row r="52">
      <c r="B52" s="202">
        <v>37.0</v>
      </c>
      <c r="C52" s="282">
        <f t="shared" si="7"/>
        <v>2180500.977</v>
      </c>
      <c r="D52" s="281">
        <f t="shared" si="2"/>
        <v>752733.2248</v>
      </c>
      <c r="E52" s="281">
        <f t="shared" si="3"/>
        <v>1427767.752</v>
      </c>
      <c r="F52" s="281">
        <f t="shared" si="4"/>
        <v>40860615.67</v>
      </c>
      <c r="G52" s="101"/>
      <c r="H52" s="101"/>
      <c r="I52" s="101"/>
      <c r="J52" s="101"/>
      <c r="K52" s="101"/>
      <c r="L52" s="101"/>
    </row>
    <row r="53">
      <c r="B53" s="202">
        <v>38.0</v>
      </c>
      <c r="C53" s="282">
        <f t="shared" si="7"/>
        <v>2180500.977</v>
      </c>
      <c r="D53" s="281">
        <f t="shared" si="2"/>
        <v>727318.9589</v>
      </c>
      <c r="E53" s="281">
        <f t="shared" si="3"/>
        <v>1453182.018</v>
      </c>
      <c r="F53" s="281">
        <f t="shared" si="4"/>
        <v>39407433.65</v>
      </c>
      <c r="G53" s="101"/>
      <c r="H53" s="101"/>
      <c r="I53" s="101"/>
      <c r="J53" s="101"/>
      <c r="K53" s="101"/>
      <c r="L53" s="101"/>
    </row>
    <row r="54">
      <c r="B54" s="202">
        <v>39.0</v>
      </c>
      <c r="C54" s="282">
        <f t="shared" si="7"/>
        <v>2180500.977</v>
      </c>
      <c r="D54" s="281">
        <f t="shared" si="2"/>
        <v>701452.3189</v>
      </c>
      <c r="E54" s="281">
        <f t="shared" si="3"/>
        <v>1479048.658</v>
      </c>
      <c r="F54" s="281">
        <f t="shared" si="4"/>
        <v>37928384.99</v>
      </c>
      <c r="G54" s="101"/>
      <c r="H54" s="101"/>
      <c r="I54" s="101"/>
      <c r="J54" s="101"/>
      <c r="K54" s="101"/>
      <c r="L54" s="101"/>
    </row>
    <row r="55">
      <c r="B55" s="202">
        <v>40.0</v>
      </c>
      <c r="C55" s="282">
        <f t="shared" si="7"/>
        <v>2180500.977</v>
      </c>
      <c r="D55" s="281">
        <f t="shared" si="2"/>
        <v>675125.2528</v>
      </c>
      <c r="E55" s="281">
        <f t="shared" si="3"/>
        <v>1505375.725</v>
      </c>
      <c r="F55" s="281">
        <f t="shared" si="4"/>
        <v>36423009.26</v>
      </c>
      <c r="G55" s="101"/>
      <c r="H55" s="101"/>
      <c r="I55" s="101"/>
      <c r="J55" s="101"/>
      <c r="K55" s="101"/>
      <c r="L55" s="101"/>
    </row>
    <row r="56">
      <c r="B56" s="202">
        <v>41.0</v>
      </c>
      <c r="C56" s="282">
        <f t="shared" si="7"/>
        <v>2180500.977</v>
      </c>
      <c r="D56" s="281">
        <f t="shared" si="2"/>
        <v>648329.5649</v>
      </c>
      <c r="E56" s="281">
        <f t="shared" si="3"/>
        <v>1532171.412</v>
      </c>
      <c r="F56" s="281">
        <f t="shared" si="4"/>
        <v>34890837.85</v>
      </c>
      <c r="G56" s="101"/>
      <c r="H56" s="101"/>
      <c r="I56" s="101"/>
      <c r="J56" s="101"/>
      <c r="K56" s="101"/>
      <c r="L56" s="101"/>
    </row>
    <row r="57">
      <c r="B57" s="202">
        <v>42.0</v>
      </c>
      <c r="C57" s="282">
        <f t="shared" si="7"/>
        <v>2180500.977</v>
      </c>
      <c r="D57" s="281">
        <f t="shared" si="2"/>
        <v>621056.9138</v>
      </c>
      <c r="E57" s="281">
        <f t="shared" si="3"/>
        <v>1559444.064</v>
      </c>
      <c r="F57" s="281">
        <f t="shared" si="4"/>
        <v>33331393.79</v>
      </c>
      <c r="G57" s="101"/>
      <c r="H57" s="101"/>
      <c r="I57" s="101"/>
      <c r="J57" s="101"/>
      <c r="K57" s="101"/>
      <c r="L57" s="101"/>
    </row>
    <row r="58">
      <c r="B58" s="202">
        <v>43.0</v>
      </c>
      <c r="C58" s="282">
        <f t="shared" si="7"/>
        <v>2180500.977</v>
      </c>
      <c r="D58" s="281">
        <f t="shared" si="2"/>
        <v>593298.8094</v>
      </c>
      <c r="E58" s="281">
        <f t="shared" si="3"/>
        <v>1587202.168</v>
      </c>
      <c r="F58" s="281">
        <f t="shared" si="4"/>
        <v>31744191.62</v>
      </c>
      <c r="G58" s="101"/>
      <c r="H58" s="101"/>
      <c r="I58" s="101"/>
      <c r="J58" s="101"/>
      <c r="K58" s="101"/>
      <c r="L58" s="101"/>
    </row>
    <row r="59">
      <c r="B59" s="202">
        <v>44.0</v>
      </c>
      <c r="C59" s="282">
        <f t="shared" si="7"/>
        <v>2180500.977</v>
      </c>
      <c r="D59" s="281">
        <f t="shared" si="2"/>
        <v>565046.6108</v>
      </c>
      <c r="E59" s="281">
        <f t="shared" si="3"/>
        <v>1615454.366</v>
      </c>
      <c r="F59" s="281">
        <f t="shared" si="4"/>
        <v>30128737.25</v>
      </c>
      <c r="G59" s="101"/>
      <c r="H59" s="101"/>
      <c r="I59" s="101"/>
      <c r="J59" s="101"/>
      <c r="K59" s="101"/>
      <c r="L59" s="101"/>
    </row>
    <row r="60">
      <c r="B60" s="202">
        <v>45.0</v>
      </c>
      <c r="C60" s="282">
        <f t="shared" si="7"/>
        <v>2180500.977</v>
      </c>
      <c r="D60" s="281">
        <f t="shared" si="2"/>
        <v>536291.5231</v>
      </c>
      <c r="E60" s="281">
        <f t="shared" si="3"/>
        <v>1644209.454</v>
      </c>
      <c r="F60" s="281">
        <f t="shared" si="4"/>
        <v>28484527.8</v>
      </c>
      <c r="G60" s="101"/>
      <c r="H60" s="101"/>
      <c r="I60" s="101"/>
      <c r="J60" s="101"/>
      <c r="K60" s="101"/>
      <c r="L60" s="101"/>
    </row>
    <row r="61">
      <c r="B61" s="202">
        <v>46.0</v>
      </c>
      <c r="C61" s="282">
        <f t="shared" si="7"/>
        <v>2180500.977</v>
      </c>
      <c r="D61" s="281">
        <f t="shared" si="2"/>
        <v>507024.5948</v>
      </c>
      <c r="E61" s="281">
        <f t="shared" si="3"/>
        <v>1673476.382</v>
      </c>
      <c r="F61" s="281">
        <f t="shared" si="4"/>
        <v>26811051.42</v>
      </c>
      <c r="G61" s="101"/>
      <c r="H61" s="101"/>
      <c r="I61" s="101"/>
      <c r="J61" s="101"/>
      <c r="K61" s="101"/>
      <c r="L61" s="101"/>
    </row>
    <row r="62">
      <c r="B62" s="202">
        <v>47.0</v>
      </c>
      <c r="C62" s="282">
        <f t="shared" si="7"/>
        <v>2180500.977</v>
      </c>
      <c r="D62" s="281">
        <f t="shared" si="2"/>
        <v>477236.7152</v>
      </c>
      <c r="E62" s="281">
        <f t="shared" si="3"/>
        <v>1703264.262</v>
      </c>
      <c r="F62" s="281">
        <f t="shared" si="4"/>
        <v>25107787.16</v>
      </c>
      <c r="G62" s="101"/>
      <c r="H62" s="101"/>
      <c r="I62" s="101"/>
      <c r="J62" s="101"/>
      <c r="K62" s="101"/>
      <c r="L62" s="101"/>
    </row>
    <row r="63">
      <c r="B63" s="202">
        <v>48.0</v>
      </c>
      <c r="C63" s="282">
        <f t="shared" si="7"/>
        <v>2180500.977</v>
      </c>
      <c r="D63" s="281">
        <f t="shared" si="2"/>
        <v>446918.6114</v>
      </c>
      <c r="E63" s="281">
        <f t="shared" si="3"/>
        <v>1733582.366</v>
      </c>
      <c r="F63" s="281">
        <f t="shared" si="4"/>
        <v>23374204.79</v>
      </c>
      <c r="G63" s="101"/>
      <c r="H63" s="101"/>
      <c r="I63" s="101"/>
      <c r="J63" s="101"/>
      <c r="K63" s="101"/>
      <c r="L63" s="101"/>
    </row>
    <row r="64">
      <c r="B64" s="202">
        <v>49.0</v>
      </c>
      <c r="C64" s="282">
        <f t="shared" si="7"/>
        <v>2180500.977</v>
      </c>
      <c r="D64" s="281">
        <f t="shared" si="2"/>
        <v>416060.8453</v>
      </c>
      <c r="E64" s="281">
        <f t="shared" si="3"/>
        <v>1764440.132</v>
      </c>
      <c r="F64" s="281">
        <f t="shared" si="4"/>
        <v>21609764.66</v>
      </c>
      <c r="G64" s="101"/>
      <c r="H64" s="101"/>
      <c r="I64" s="101"/>
      <c r="J64" s="101"/>
      <c r="K64" s="101"/>
      <c r="L64" s="101"/>
    </row>
    <row r="65">
      <c r="B65" s="202">
        <v>50.0</v>
      </c>
      <c r="C65" s="282">
        <f t="shared" si="7"/>
        <v>2180500.977</v>
      </c>
      <c r="D65" s="281">
        <f t="shared" si="2"/>
        <v>384653.8109</v>
      </c>
      <c r="E65" s="281">
        <f t="shared" si="3"/>
        <v>1795847.166</v>
      </c>
      <c r="F65" s="281">
        <f t="shared" si="4"/>
        <v>19813917.49</v>
      </c>
      <c r="G65" s="101"/>
      <c r="H65" s="101"/>
      <c r="I65" s="101"/>
      <c r="J65" s="101"/>
      <c r="K65" s="101"/>
      <c r="L65" s="101"/>
    </row>
    <row r="66">
      <c r="B66" s="202">
        <v>51.0</v>
      </c>
      <c r="C66" s="282">
        <f t="shared" si="7"/>
        <v>2180500.977</v>
      </c>
      <c r="D66" s="281">
        <f t="shared" si="2"/>
        <v>352687.7313</v>
      </c>
      <c r="E66" s="281">
        <f t="shared" si="3"/>
        <v>1827813.246</v>
      </c>
      <c r="F66" s="281">
        <f t="shared" si="4"/>
        <v>17986104.24</v>
      </c>
      <c r="G66" s="101"/>
      <c r="H66" s="101"/>
      <c r="I66" s="101"/>
      <c r="J66" s="101"/>
      <c r="K66" s="101"/>
      <c r="L66" s="101"/>
    </row>
    <row r="67">
      <c r="B67" s="202">
        <v>52.0</v>
      </c>
      <c r="C67" s="282">
        <f t="shared" si="7"/>
        <v>2180500.977</v>
      </c>
      <c r="D67" s="281">
        <f t="shared" si="2"/>
        <v>320152.6556</v>
      </c>
      <c r="E67" s="281">
        <f t="shared" si="3"/>
        <v>1860348.322</v>
      </c>
      <c r="F67" s="281">
        <f t="shared" si="4"/>
        <v>16125755.92</v>
      </c>
      <c r="G67" s="101"/>
      <c r="H67" s="101"/>
      <c r="I67" s="101"/>
      <c r="J67" s="101"/>
      <c r="K67" s="101"/>
      <c r="L67" s="101"/>
    </row>
    <row r="68">
      <c r="B68" s="202">
        <v>53.0</v>
      </c>
      <c r="C68" s="282">
        <f t="shared" si="7"/>
        <v>2180500.977</v>
      </c>
      <c r="D68" s="281">
        <f t="shared" si="2"/>
        <v>287038.4554</v>
      </c>
      <c r="E68" s="281">
        <f t="shared" si="3"/>
        <v>1893462.522</v>
      </c>
      <c r="F68" s="281">
        <f t="shared" si="4"/>
        <v>14232293.4</v>
      </c>
      <c r="G68" s="101"/>
      <c r="H68" s="101"/>
      <c r="I68" s="101"/>
      <c r="J68" s="101"/>
      <c r="K68" s="101"/>
      <c r="L68" s="101"/>
    </row>
    <row r="69">
      <c r="B69" s="202">
        <v>54.0</v>
      </c>
      <c r="C69" s="282">
        <f t="shared" si="7"/>
        <v>2180500.977</v>
      </c>
      <c r="D69" s="281">
        <f t="shared" si="2"/>
        <v>253334.8225</v>
      </c>
      <c r="E69" s="281">
        <f t="shared" si="3"/>
        <v>1927166.155</v>
      </c>
      <c r="F69" s="281">
        <f t="shared" si="4"/>
        <v>12305127.25</v>
      </c>
      <c r="G69" s="101"/>
      <c r="H69" s="101"/>
      <c r="I69" s="101"/>
      <c r="J69" s="101"/>
      <c r="K69" s="101"/>
      <c r="L69" s="101"/>
    </row>
    <row r="70">
      <c r="B70" s="202">
        <v>55.0</v>
      </c>
      <c r="C70" s="282">
        <f t="shared" si="7"/>
        <v>2180500.977</v>
      </c>
      <c r="D70" s="281">
        <f t="shared" si="2"/>
        <v>219031.265</v>
      </c>
      <c r="E70" s="281">
        <f t="shared" si="3"/>
        <v>1961469.712</v>
      </c>
      <c r="F70" s="281">
        <f t="shared" si="4"/>
        <v>10343657.53</v>
      </c>
      <c r="G70" s="101"/>
      <c r="H70" s="101"/>
      <c r="I70" s="101"/>
      <c r="J70" s="101"/>
      <c r="K70" s="101"/>
      <c r="L70" s="101"/>
    </row>
    <row r="71">
      <c r="B71" s="202">
        <v>56.0</v>
      </c>
      <c r="C71" s="282">
        <f t="shared" si="7"/>
        <v>2180500.977</v>
      </c>
      <c r="D71" s="281">
        <f t="shared" si="2"/>
        <v>184117.1041</v>
      </c>
      <c r="E71" s="281">
        <f t="shared" si="3"/>
        <v>1996383.873</v>
      </c>
      <c r="F71" s="281">
        <f t="shared" si="4"/>
        <v>8347273.661</v>
      </c>
      <c r="G71" s="101"/>
      <c r="H71" s="101"/>
      <c r="I71" s="101"/>
      <c r="J71" s="101"/>
      <c r="K71" s="101"/>
      <c r="L71" s="101"/>
    </row>
    <row r="72">
      <c r="B72" s="202">
        <v>57.0</v>
      </c>
      <c r="C72" s="282">
        <f t="shared" si="7"/>
        <v>2180500.977</v>
      </c>
      <c r="D72" s="281">
        <f t="shared" si="2"/>
        <v>148581.4712</v>
      </c>
      <c r="E72" s="281">
        <f t="shared" si="3"/>
        <v>2031919.506</v>
      </c>
      <c r="F72" s="281">
        <f t="shared" si="4"/>
        <v>6315354.155</v>
      </c>
      <c r="G72" s="101"/>
      <c r="H72" s="101"/>
      <c r="I72" s="101"/>
      <c r="J72" s="101"/>
      <c r="K72" s="101"/>
      <c r="L72" s="101"/>
    </row>
    <row r="73">
      <c r="B73" s="202">
        <v>58.0</v>
      </c>
      <c r="C73" s="282">
        <f t="shared" si="7"/>
        <v>2180500.977</v>
      </c>
      <c r="D73" s="281">
        <f t="shared" si="2"/>
        <v>112413.304</v>
      </c>
      <c r="E73" s="281">
        <f t="shared" si="3"/>
        <v>2068087.673</v>
      </c>
      <c r="F73" s="281">
        <f t="shared" si="4"/>
        <v>4247266.481</v>
      </c>
      <c r="G73" s="101"/>
      <c r="H73" s="101"/>
      <c r="I73" s="101"/>
      <c r="J73" s="101"/>
      <c r="K73" s="101"/>
      <c r="L73" s="101"/>
    </row>
    <row r="74">
      <c r="B74" s="202">
        <v>59.0</v>
      </c>
      <c r="C74" s="282">
        <f t="shared" si="7"/>
        <v>2180500.977</v>
      </c>
      <c r="D74" s="281">
        <f t="shared" si="2"/>
        <v>75601.34337</v>
      </c>
      <c r="E74" s="281">
        <f t="shared" si="3"/>
        <v>2104899.634</v>
      </c>
      <c r="F74" s="281">
        <f t="shared" si="4"/>
        <v>2142366.847</v>
      </c>
      <c r="G74" s="101"/>
      <c r="H74" s="101"/>
      <c r="I74" s="101"/>
      <c r="J74" s="101"/>
      <c r="K74" s="101"/>
      <c r="L74" s="101"/>
    </row>
    <row r="75">
      <c r="B75" s="202">
        <v>60.0</v>
      </c>
      <c r="C75" s="282">
        <f t="shared" si="7"/>
        <v>2180500.977</v>
      </c>
      <c r="D75" s="281">
        <f t="shared" si="2"/>
        <v>38134.12988</v>
      </c>
      <c r="E75" s="281">
        <f t="shared" si="3"/>
        <v>2142366.847</v>
      </c>
      <c r="F75" s="281">
        <f t="shared" si="4"/>
        <v>0.0000002779997885</v>
      </c>
      <c r="G75" s="101"/>
      <c r="H75" s="101"/>
      <c r="I75" s="101"/>
      <c r="J75" s="101"/>
      <c r="K75" s="101"/>
      <c r="L75" s="101"/>
    </row>
    <row r="76">
      <c r="B76" s="101"/>
      <c r="C76" s="101"/>
      <c r="D76" s="101"/>
      <c r="E76" s="101"/>
      <c r="F76" s="101"/>
      <c r="G76" s="101"/>
      <c r="H76" s="101"/>
      <c r="I76" s="101"/>
      <c r="J76" s="101"/>
      <c r="K76" s="101"/>
      <c r="L76" s="101"/>
    </row>
  </sheetData>
  <mergeCells count="5">
    <mergeCell ref="B4:E4"/>
    <mergeCell ref="B7:C7"/>
    <mergeCell ref="B8:C8"/>
    <mergeCell ref="B9:C9"/>
    <mergeCell ref="B10:C10"/>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2">
      <c r="B2" s="285" t="s">
        <v>289</v>
      </c>
      <c r="C2" s="119"/>
      <c r="D2" s="119"/>
      <c r="E2" s="286" t="s">
        <v>290</v>
      </c>
    </row>
    <row r="3">
      <c r="B3" s="171"/>
      <c r="E3" s="38"/>
    </row>
    <row r="4">
      <c r="B4" s="287" t="s">
        <v>251</v>
      </c>
      <c r="C4" s="288"/>
      <c r="D4" s="288"/>
      <c r="E4" s="289">
        <f>'COSTOS Y GASTOS'!E78</f>
        <v>295936740</v>
      </c>
    </row>
    <row r="5">
      <c r="B5" s="290" t="s">
        <v>291</v>
      </c>
      <c r="C5" s="291"/>
      <c r="D5" s="291"/>
      <c r="E5" s="253">
        <f>SUM(E4)</f>
        <v>295936740</v>
      </c>
    </row>
    <row r="6">
      <c r="B6" s="292" t="s">
        <v>292</v>
      </c>
      <c r="C6" s="293"/>
      <c r="D6" s="252"/>
      <c r="E6" s="274">
        <f>'COSTOS Y GASTOS'!E67</f>
        <v>299755228</v>
      </c>
    </row>
    <row r="7">
      <c r="B7" s="294" t="s">
        <v>82</v>
      </c>
      <c r="C7" s="295"/>
      <c r="D7" s="295"/>
      <c r="E7" s="296">
        <f>E4+E5+E6</f>
        <v>891628708</v>
      </c>
    </row>
    <row r="8">
      <c r="B8" s="101"/>
      <c r="C8" s="101"/>
      <c r="D8" s="101"/>
      <c r="E8" s="101"/>
    </row>
    <row r="9">
      <c r="B9" s="101"/>
      <c r="C9" s="101"/>
      <c r="D9" s="101"/>
      <c r="E9" s="101"/>
    </row>
    <row r="10">
      <c r="B10" s="285" t="s">
        <v>293</v>
      </c>
      <c r="C10" s="119"/>
      <c r="D10" s="119"/>
      <c r="E10" s="285" t="s">
        <v>191</v>
      </c>
    </row>
    <row r="11">
      <c r="B11" s="171"/>
      <c r="E11" s="39"/>
    </row>
    <row r="12">
      <c r="B12" s="82" t="s">
        <v>294</v>
      </c>
      <c r="C12" s="252"/>
      <c r="D12" s="288"/>
      <c r="E12" s="297">
        <f>'COSTOS Y GASTOS'!E38</f>
        <v>17760000</v>
      </c>
      <c r="G12" s="298"/>
    </row>
    <row r="13">
      <c r="B13" s="243" t="s">
        <v>82</v>
      </c>
      <c r="C13" s="18"/>
      <c r="D13" s="18"/>
      <c r="E13" s="253">
        <f>SUM(E12)</f>
        <v>17760000</v>
      </c>
    </row>
  </sheetData>
  <mergeCells count="6">
    <mergeCell ref="B2:D3"/>
    <mergeCell ref="E2:E3"/>
    <mergeCell ref="B7:D7"/>
    <mergeCell ref="B10:D11"/>
    <mergeCell ref="E10:E11"/>
    <mergeCell ref="B13:D1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5.5"/>
    <col customWidth="1" min="3" max="3" width="14.5"/>
  </cols>
  <sheetData>
    <row r="2">
      <c r="A2" s="162" t="s">
        <v>295</v>
      </c>
      <c r="B2" s="18"/>
      <c r="C2" s="18"/>
      <c r="D2" s="18"/>
      <c r="E2" s="18"/>
      <c r="F2" s="18"/>
      <c r="G2" s="19"/>
      <c r="H2" s="241"/>
    </row>
    <row r="3">
      <c r="A3" s="130"/>
      <c r="B3" s="130"/>
      <c r="C3" s="130"/>
      <c r="D3" s="130"/>
      <c r="E3" s="130"/>
      <c r="F3" s="130"/>
      <c r="G3" s="130"/>
      <c r="H3" s="130"/>
    </row>
    <row r="4">
      <c r="A4" s="130"/>
      <c r="B4" s="130"/>
      <c r="C4" s="192" t="s">
        <v>296</v>
      </c>
      <c r="D4" s="192" t="s">
        <v>297</v>
      </c>
      <c r="E4" s="192" t="s">
        <v>298</v>
      </c>
      <c r="F4" s="192" t="s">
        <v>299</v>
      </c>
      <c r="G4" s="192" t="s">
        <v>300</v>
      </c>
      <c r="I4" s="88" t="s">
        <v>301</v>
      </c>
      <c r="J4" s="299">
        <v>0.02</v>
      </c>
    </row>
    <row r="5">
      <c r="A5" s="130"/>
      <c r="B5" s="130"/>
      <c r="C5" s="241"/>
      <c r="D5" s="300">
        <f t="shared" ref="D5:G5" si="1">D12/C12-1</f>
        <v>0.03</v>
      </c>
      <c r="E5" s="300">
        <f t="shared" si="1"/>
        <v>0.03</v>
      </c>
      <c r="F5" s="300">
        <f t="shared" si="1"/>
        <v>0.03</v>
      </c>
      <c r="G5" s="300">
        <f t="shared" si="1"/>
        <v>0.03</v>
      </c>
      <c r="H5" s="300"/>
      <c r="I5" s="301"/>
    </row>
    <row r="6">
      <c r="A6" s="220" t="s">
        <v>302</v>
      </c>
      <c r="B6" s="19"/>
      <c r="C6" s="302">
        <f>VENTAS!P126</f>
        <v>506334081.6</v>
      </c>
      <c r="D6" s="302">
        <f t="shared" ref="D6:G6" si="2">C6*(1+3%)</f>
        <v>521524104</v>
      </c>
      <c r="E6" s="302">
        <f t="shared" si="2"/>
        <v>537169827.2</v>
      </c>
      <c r="F6" s="302">
        <f t="shared" si="2"/>
        <v>553284922</v>
      </c>
      <c r="G6" s="302">
        <f t="shared" si="2"/>
        <v>569883469.6</v>
      </c>
      <c r="H6" s="130"/>
    </row>
    <row r="7">
      <c r="A7" s="220" t="s">
        <v>303</v>
      </c>
      <c r="B7" s="19"/>
      <c r="C7" s="302">
        <f>VENTAS!P127</f>
        <v>305691679.8</v>
      </c>
      <c r="D7" s="302">
        <f t="shared" ref="D7:G7" si="3">C7*(1+3%)</f>
        <v>314862430.2</v>
      </c>
      <c r="E7" s="302">
        <f t="shared" si="3"/>
        <v>324308303.1</v>
      </c>
      <c r="F7" s="302">
        <f t="shared" si="3"/>
        <v>334037552.2</v>
      </c>
      <c r="G7" s="302">
        <f t="shared" si="3"/>
        <v>344058678.8</v>
      </c>
      <c r="H7" s="130"/>
      <c r="P7" s="303"/>
      <c r="Q7" s="303"/>
      <c r="R7" s="303"/>
      <c r="S7" s="303"/>
      <c r="T7" s="303"/>
    </row>
    <row r="8">
      <c r="A8" s="220" t="s">
        <v>304</v>
      </c>
      <c r="B8" s="19"/>
      <c r="C8" s="302">
        <f>VENTAS!P128</f>
        <v>112829114.1</v>
      </c>
      <c r="D8" s="302">
        <f t="shared" ref="D8:G8" si="4">C8*(1+3%)</f>
        <v>116213987.5</v>
      </c>
      <c r="E8" s="302">
        <f t="shared" si="4"/>
        <v>119700407.2</v>
      </c>
      <c r="F8" s="302">
        <f t="shared" si="4"/>
        <v>123291419.4</v>
      </c>
      <c r="G8" s="302">
        <f t="shared" si="4"/>
        <v>126990162</v>
      </c>
      <c r="H8" s="130"/>
      <c r="N8" s="304"/>
      <c r="O8" s="305"/>
      <c r="P8" s="306"/>
      <c r="Q8" s="306"/>
      <c r="R8" s="306"/>
      <c r="S8" s="306"/>
      <c r="T8" s="306"/>
    </row>
    <row r="9">
      <c r="A9" s="220" t="s">
        <v>305</v>
      </c>
      <c r="B9" s="19"/>
      <c r="C9" s="302">
        <f>VENTAS!P129</f>
        <v>388414225.3</v>
      </c>
      <c r="D9" s="302">
        <f t="shared" ref="D9:G9" si="5">C9*(1+3%)</f>
        <v>400066652.1</v>
      </c>
      <c r="E9" s="302">
        <f t="shared" si="5"/>
        <v>412068651.6</v>
      </c>
      <c r="F9" s="302">
        <f t="shared" si="5"/>
        <v>424430711.2</v>
      </c>
      <c r="G9" s="302">
        <f t="shared" si="5"/>
        <v>437163632.5</v>
      </c>
      <c r="H9" s="130"/>
      <c r="N9" s="304"/>
      <c r="P9" s="306"/>
      <c r="Q9" s="306"/>
      <c r="R9" s="306"/>
      <c r="S9" s="306"/>
      <c r="T9" s="306"/>
    </row>
    <row r="10">
      <c r="A10" s="220" t="s">
        <v>306</v>
      </c>
      <c r="B10" s="19"/>
      <c r="C10" s="302">
        <f>VENTAS!P130</f>
        <v>67697468.46</v>
      </c>
      <c r="D10" s="302">
        <f t="shared" ref="D10:G10" si="6">C10*(1+3%)</f>
        <v>69728392.52</v>
      </c>
      <c r="E10" s="302">
        <f t="shared" si="6"/>
        <v>71820244.29</v>
      </c>
      <c r="F10" s="302">
        <f t="shared" si="6"/>
        <v>73974851.62</v>
      </c>
      <c r="G10" s="302">
        <f t="shared" si="6"/>
        <v>76194097.17</v>
      </c>
      <c r="H10" s="130"/>
    </row>
    <row r="11">
      <c r="A11" s="220" t="s">
        <v>307</v>
      </c>
      <c r="B11" s="19"/>
      <c r="C11" s="302">
        <f>VENTAS!P131</f>
        <v>186555836.1</v>
      </c>
      <c r="D11" s="302">
        <f t="shared" ref="D11:G11" si="7">C11*(1+3%)</f>
        <v>192152511.2</v>
      </c>
      <c r="E11" s="302">
        <f t="shared" si="7"/>
        <v>197917086.5</v>
      </c>
      <c r="F11" s="302">
        <f t="shared" si="7"/>
        <v>203854599.1</v>
      </c>
      <c r="G11" s="302">
        <f t="shared" si="7"/>
        <v>209970237.1</v>
      </c>
      <c r="H11" s="307"/>
      <c r="I11" s="308"/>
      <c r="J11" s="308"/>
      <c r="K11" s="308"/>
      <c r="L11" s="308"/>
    </row>
    <row r="12">
      <c r="A12" s="115" t="s">
        <v>308</v>
      </c>
      <c r="B12" s="19"/>
      <c r="C12" s="116">
        <f t="shared" ref="C12:G12" si="8">SUM(C6:C11)</f>
        <v>1567522405</v>
      </c>
      <c r="D12" s="116">
        <f t="shared" si="8"/>
        <v>1614548078</v>
      </c>
      <c r="E12" s="116">
        <f t="shared" si="8"/>
        <v>1662984520</v>
      </c>
      <c r="F12" s="116">
        <f t="shared" si="8"/>
        <v>1712874056</v>
      </c>
      <c r="G12" s="116">
        <f t="shared" si="8"/>
        <v>1764260277</v>
      </c>
      <c r="H12" s="307"/>
      <c r="I12" s="309"/>
      <c r="J12" s="309"/>
      <c r="K12" s="309"/>
      <c r="L12" s="309"/>
    </row>
    <row r="13">
      <c r="A13" s="220" t="s">
        <v>309</v>
      </c>
      <c r="B13" s="19"/>
      <c r="C13" s="302">
        <f>'COSTOS Y GASTOS'!R83</f>
        <v>295936740</v>
      </c>
      <c r="D13" s="302">
        <f t="shared" ref="D13:G13" si="9">C13*(1+2%)</f>
        <v>301855474.8</v>
      </c>
      <c r="E13" s="302">
        <f t="shared" si="9"/>
        <v>307892584.3</v>
      </c>
      <c r="F13" s="302">
        <f t="shared" si="9"/>
        <v>314050436</v>
      </c>
      <c r="G13" s="302">
        <f t="shared" si="9"/>
        <v>320331444.7</v>
      </c>
      <c r="H13" s="310"/>
    </row>
    <row r="14">
      <c r="A14" s="220" t="s">
        <v>310</v>
      </c>
      <c r="B14" s="19"/>
      <c r="C14" s="302">
        <f>'COSTO MATERIA PRIMA'!O65</f>
        <v>856262061.8</v>
      </c>
      <c r="D14" s="302">
        <f>'COSTO MATERIA PRIMA'!O75</f>
        <v>873387303</v>
      </c>
      <c r="E14" s="302">
        <f>'COSTO MATERIA PRIMA'!O85</f>
        <v>889797911.5</v>
      </c>
      <c r="F14" s="302">
        <f>'COSTO MATERIA PRIMA'!O96</f>
        <v>908672150.1</v>
      </c>
      <c r="G14" s="302">
        <f>F14*(1+2%)</f>
        <v>926845593.1</v>
      </c>
      <c r="H14" s="307"/>
    </row>
    <row r="15">
      <c r="A15" s="220" t="s">
        <v>255</v>
      </c>
      <c r="B15" s="19"/>
      <c r="C15" s="302">
        <f>'COSTOS Y GASTOS'!E73</f>
        <v>96300720</v>
      </c>
      <c r="D15" s="302">
        <f t="shared" ref="D15:G15" si="10">C15*(1+2%)</f>
        <v>98226734.4</v>
      </c>
      <c r="E15" s="302">
        <f t="shared" si="10"/>
        <v>100191269.1</v>
      </c>
      <c r="F15" s="302">
        <f t="shared" si="10"/>
        <v>102195094.5</v>
      </c>
      <c r="G15" s="302">
        <f t="shared" si="10"/>
        <v>104238996.4</v>
      </c>
      <c r="H15" s="130"/>
      <c r="I15" s="311"/>
      <c r="J15" s="311"/>
      <c r="K15" s="311"/>
      <c r="L15" s="311"/>
    </row>
    <row r="16">
      <c r="A16" s="115" t="s">
        <v>311</v>
      </c>
      <c r="B16" s="19"/>
      <c r="C16" s="312">
        <f t="shared" ref="C16:G16" si="11">SUM(C13:C15)</f>
        <v>1248499522</v>
      </c>
      <c r="D16" s="312">
        <f t="shared" si="11"/>
        <v>1273469512</v>
      </c>
      <c r="E16" s="312">
        <f t="shared" si="11"/>
        <v>1297881765</v>
      </c>
      <c r="F16" s="312">
        <f t="shared" si="11"/>
        <v>1324917681</v>
      </c>
      <c r="G16" s="312">
        <f t="shared" si="11"/>
        <v>1351416034</v>
      </c>
      <c r="H16" s="307"/>
      <c r="I16" s="311"/>
      <c r="J16" s="311"/>
      <c r="K16" s="311"/>
      <c r="L16" s="311"/>
    </row>
    <row r="17">
      <c r="A17" s="115" t="s">
        <v>312</v>
      </c>
      <c r="B17" s="19"/>
      <c r="C17" s="116">
        <f t="shared" ref="C17:G17" si="12">C12-C16</f>
        <v>319022883.7</v>
      </c>
      <c r="D17" s="116">
        <f t="shared" si="12"/>
        <v>341078565.4</v>
      </c>
      <c r="E17" s="116">
        <f t="shared" si="12"/>
        <v>365102755</v>
      </c>
      <c r="F17" s="116">
        <f t="shared" si="12"/>
        <v>387956375</v>
      </c>
      <c r="G17" s="116">
        <f t="shared" si="12"/>
        <v>412844243.1</v>
      </c>
      <c r="H17" s="130"/>
      <c r="I17" s="311"/>
      <c r="J17" s="311"/>
      <c r="K17" s="311"/>
      <c r="L17" s="311"/>
    </row>
    <row r="18">
      <c r="A18" s="313" t="s">
        <v>313</v>
      </c>
      <c r="B18" s="314"/>
      <c r="C18" s="302">
        <f>'COSTOS Y GASTOS'!E42</f>
        <v>224737108</v>
      </c>
      <c r="D18" s="302">
        <f t="shared" ref="D18:G18" si="13">C18*(1+$J$4)</f>
        <v>229231850.1</v>
      </c>
      <c r="E18" s="302">
        <f t="shared" si="13"/>
        <v>233816487.1</v>
      </c>
      <c r="F18" s="302">
        <f t="shared" si="13"/>
        <v>238492816.9</v>
      </c>
      <c r="G18" s="302">
        <f t="shared" si="13"/>
        <v>243262673.2</v>
      </c>
      <c r="H18" s="130"/>
      <c r="I18" s="311"/>
      <c r="J18" s="311"/>
      <c r="K18" s="311"/>
      <c r="L18" s="311"/>
    </row>
    <row r="19">
      <c r="A19" s="220" t="s">
        <v>232</v>
      </c>
      <c r="B19" s="19"/>
      <c r="C19" s="302">
        <f>'COSTOS Y GASTOS'!E63</f>
        <v>75018120</v>
      </c>
      <c r="D19" s="302">
        <f t="shared" ref="D19:G19" si="14">C19*(1+$J$4)</f>
        <v>76518482.4</v>
      </c>
      <c r="E19" s="302">
        <f t="shared" si="14"/>
        <v>78048852.05</v>
      </c>
      <c r="F19" s="302">
        <f t="shared" si="14"/>
        <v>79609829.09</v>
      </c>
      <c r="G19" s="302">
        <f t="shared" si="14"/>
        <v>81202025.67</v>
      </c>
      <c r="H19" s="130"/>
      <c r="I19" s="311"/>
      <c r="J19" s="311"/>
      <c r="K19" s="311"/>
      <c r="L19" s="311"/>
      <c r="M19" s="307"/>
    </row>
    <row r="20">
      <c r="A20" s="115" t="s">
        <v>314</v>
      </c>
      <c r="B20" s="19"/>
      <c r="C20" s="116">
        <f t="shared" ref="C20:G20" si="15">C17-C18-C19</f>
        <v>19267655.7</v>
      </c>
      <c r="D20" s="116">
        <f t="shared" si="15"/>
        <v>35328232.87</v>
      </c>
      <c r="E20" s="116">
        <f t="shared" si="15"/>
        <v>53237415.84</v>
      </c>
      <c r="F20" s="116">
        <f t="shared" si="15"/>
        <v>69853729.07</v>
      </c>
      <c r="G20" s="116">
        <f t="shared" si="15"/>
        <v>88379544.21</v>
      </c>
      <c r="H20" s="130"/>
      <c r="I20" s="311"/>
      <c r="J20" s="311"/>
      <c r="K20" s="311"/>
      <c r="L20" s="311"/>
      <c r="M20" s="315"/>
    </row>
    <row r="21">
      <c r="A21" s="220" t="s">
        <v>266</v>
      </c>
      <c r="B21" s="19"/>
      <c r="C21" s="302">
        <f>PRESTAMO!J15</f>
        <v>16144357.58</v>
      </c>
      <c r="D21" s="302">
        <f>PRESTAMO!J16</f>
        <v>13781218.24</v>
      </c>
      <c r="E21" s="302">
        <f>PRESTAMO!J17</f>
        <v>10860842.79</v>
      </c>
      <c r="F21" s="302">
        <f>PRESTAMO!J18</f>
        <v>7251833.099</v>
      </c>
      <c r="G21" s="302">
        <f>PRESTAMO!K19</f>
        <v>23374204.79</v>
      </c>
      <c r="H21" s="130"/>
      <c r="I21" s="307"/>
      <c r="J21" s="315"/>
      <c r="K21" s="315"/>
      <c r="L21" s="315"/>
      <c r="M21" s="315"/>
    </row>
    <row r="22">
      <c r="A22" s="115" t="s">
        <v>315</v>
      </c>
      <c r="B22" s="19"/>
      <c r="C22" s="312">
        <f t="shared" ref="C22:G22" si="16">C20-C21</f>
        <v>3123298.123</v>
      </c>
      <c r="D22" s="312">
        <f t="shared" si="16"/>
        <v>21547014.64</v>
      </c>
      <c r="E22" s="312">
        <f t="shared" si="16"/>
        <v>42376573.05</v>
      </c>
      <c r="F22" s="312">
        <f t="shared" si="16"/>
        <v>62601895.97</v>
      </c>
      <c r="G22" s="312">
        <f t="shared" si="16"/>
        <v>65005339.42</v>
      </c>
      <c r="H22" s="130"/>
      <c r="I22" s="316"/>
      <c r="J22" s="316"/>
      <c r="K22" s="316"/>
      <c r="L22" s="316"/>
    </row>
    <row r="23">
      <c r="A23" s="220" t="s">
        <v>316</v>
      </c>
      <c r="B23" s="19"/>
      <c r="C23" s="302">
        <f>C22*H23</f>
        <v>1093154.343</v>
      </c>
      <c r="D23" s="302">
        <f t="shared" ref="D23:G23" si="17">D22*$H$23</f>
        <v>7541455.122</v>
      </c>
      <c r="E23" s="302">
        <f t="shared" si="17"/>
        <v>14831800.57</v>
      </c>
      <c r="F23" s="302">
        <f t="shared" si="17"/>
        <v>21910663.59</v>
      </c>
      <c r="G23" s="302">
        <f t="shared" si="17"/>
        <v>22751868.8</v>
      </c>
      <c r="H23" s="317">
        <v>0.35</v>
      </c>
    </row>
    <row r="24">
      <c r="A24" s="115" t="s">
        <v>317</v>
      </c>
      <c r="B24" s="19"/>
      <c r="C24" s="116">
        <f t="shared" ref="C24:G24" si="18">C22-C23</f>
        <v>2030143.78</v>
      </c>
      <c r="D24" s="116">
        <f t="shared" si="18"/>
        <v>14005559.51</v>
      </c>
      <c r="E24" s="116">
        <f t="shared" si="18"/>
        <v>27544772.48</v>
      </c>
      <c r="F24" s="116">
        <f t="shared" si="18"/>
        <v>40691232.38</v>
      </c>
      <c r="G24" s="116">
        <f t="shared" si="18"/>
        <v>42253470.62</v>
      </c>
      <c r="H24" s="130"/>
    </row>
  </sheetData>
  <mergeCells count="21">
    <mergeCell ref="A2:G2"/>
    <mergeCell ref="I5:J5"/>
    <mergeCell ref="A6:B6"/>
    <mergeCell ref="A7:B7"/>
    <mergeCell ref="A8:B8"/>
    <mergeCell ref="A9:B9"/>
    <mergeCell ref="N9:O9"/>
    <mergeCell ref="A17:B17"/>
    <mergeCell ref="A19:B19"/>
    <mergeCell ref="A20:B20"/>
    <mergeCell ref="A21:B21"/>
    <mergeCell ref="A22:B22"/>
    <mergeCell ref="A23:B23"/>
    <mergeCell ref="A24:B24"/>
    <mergeCell ref="A10:B10"/>
    <mergeCell ref="A11:B11"/>
    <mergeCell ref="A12:B12"/>
    <mergeCell ref="A13:B13"/>
    <mergeCell ref="A14:B14"/>
    <mergeCell ref="A15:B15"/>
    <mergeCell ref="A16:B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1.75"/>
    <col customWidth="1" min="9" max="9" width="15.63"/>
    <col customWidth="1" min="11" max="11" width="14.0"/>
  </cols>
  <sheetData>
    <row r="2">
      <c r="A2" s="318" t="s">
        <v>318</v>
      </c>
      <c r="B2" s="18"/>
      <c r="C2" s="18"/>
      <c r="D2" s="18"/>
      <c r="E2" s="18"/>
      <c r="F2" s="18"/>
      <c r="G2" s="18"/>
      <c r="H2" s="18"/>
      <c r="I2" s="18"/>
      <c r="J2" s="18"/>
      <c r="K2" s="19"/>
    </row>
    <row r="4">
      <c r="A4" s="194" t="s">
        <v>249</v>
      </c>
      <c r="B4" s="195" t="s">
        <v>195</v>
      </c>
      <c r="C4" s="18"/>
      <c r="D4" s="18"/>
      <c r="E4" s="18"/>
      <c r="F4" s="18"/>
      <c r="G4" s="18"/>
      <c r="H4" s="18"/>
      <c r="I4" s="18"/>
      <c r="J4" s="18"/>
      <c r="K4" s="19"/>
    </row>
    <row r="5">
      <c r="A5" s="38"/>
      <c r="B5" s="198" t="s">
        <v>198</v>
      </c>
      <c r="C5" s="199" t="s">
        <v>199</v>
      </c>
      <c r="D5" s="197" t="s">
        <v>200</v>
      </c>
      <c r="E5" s="197" t="s">
        <v>201</v>
      </c>
      <c r="F5" s="197" t="s">
        <v>202</v>
      </c>
      <c r="G5" s="200" t="s">
        <v>203</v>
      </c>
      <c r="H5" s="197" t="s">
        <v>204</v>
      </c>
      <c r="I5" s="200" t="s">
        <v>205</v>
      </c>
      <c r="J5" s="200" t="s">
        <v>228</v>
      </c>
      <c r="K5" s="200" t="s">
        <v>207</v>
      </c>
    </row>
    <row r="6">
      <c r="A6" s="177" t="s">
        <v>250</v>
      </c>
      <c r="B6" s="202">
        <v>1.0</v>
      </c>
      <c r="C6" s="319">
        <v>2500000.0</v>
      </c>
      <c r="D6" s="246">
        <v>0.0417</v>
      </c>
      <c r="E6" s="247">
        <v>0.09</v>
      </c>
      <c r="F6" s="248">
        <v>0.085</v>
      </c>
      <c r="G6" s="247">
        <v>0.12</v>
      </c>
      <c r="H6" s="246">
        <v>0.0052</v>
      </c>
      <c r="I6" s="320" t="s">
        <v>112</v>
      </c>
      <c r="J6" s="321">
        <f>C6*D6+C6*E6+C6*F6+C6*G6+C6*H6+C6</f>
        <v>3354750</v>
      </c>
      <c r="K6" s="321">
        <f t="shared" ref="K6:K9" si="1">J6*B6</f>
        <v>3354750</v>
      </c>
      <c r="L6" s="161">
        <f t="shared" ref="L6:L9" si="2">J6/30</f>
        <v>111825</v>
      </c>
      <c r="M6" s="14">
        <f t="shared" ref="M6:M9" si="3">L6/480</f>
        <v>232.96875</v>
      </c>
    </row>
    <row r="7">
      <c r="A7" s="177" t="s">
        <v>252</v>
      </c>
      <c r="B7" s="202">
        <v>1.0</v>
      </c>
      <c r="C7" s="319">
        <v>1600000.0</v>
      </c>
      <c r="D7" s="246">
        <v>0.0417</v>
      </c>
      <c r="E7" s="247">
        <v>0.09</v>
      </c>
      <c r="F7" s="248">
        <v>0.085</v>
      </c>
      <c r="G7" s="247">
        <v>0.12</v>
      </c>
      <c r="H7" s="246">
        <v>0.0052</v>
      </c>
      <c r="I7" s="249">
        <v>162000.0</v>
      </c>
      <c r="J7" s="321">
        <f t="shared" ref="J7:J9" si="4">C7*D7+C7*E7+C7*F7+C7*G7+C7*H7+I7+C7</f>
        <v>2309040</v>
      </c>
      <c r="K7" s="321">
        <f t="shared" si="1"/>
        <v>2309040</v>
      </c>
      <c r="L7" s="161">
        <f t="shared" si="2"/>
        <v>76968</v>
      </c>
      <c r="M7" s="14">
        <f t="shared" si="3"/>
        <v>160.35</v>
      </c>
    </row>
    <row r="8">
      <c r="A8" s="177" t="s">
        <v>254</v>
      </c>
      <c r="B8" s="322">
        <v>5.0</v>
      </c>
      <c r="C8" s="321">
        <v>1300000.0</v>
      </c>
      <c r="D8" s="246">
        <v>0.0417</v>
      </c>
      <c r="E8" s="247">
        <v>0.09</v>
      </c>
      <c r="F8" s="248">
        <v>0.085</v>
      </c>
      <c r="G8" s="247">
        <v>0.12</v>
      </c>
      <c r="H8" s="246">
        <v>0.0052</v>
      </c>
      <c r="I8" s="249">
        <f>I7</f>
        <v>162000</v>
      </c>
      <c r="J8" s="321">
        <f t="shared" si="4"/>
        <v>1906470</v>
      </c>
      <c r="K8" s="321">
        <f t="shared" si="1"/>
        <v>9532350</v>
      </c>
      <c r="L8" s="161">
        <f t="shared" si="2"/>
        <v>63549</v>
      </c>
      <c r="M8" s="14">
        <f t="shared" si="3"/>
        <v>132.39375</v>
      </c>
    </row>
    <row r="9">
      <c r="A9" s="177" t="s">
        <v>256</v>
      </c>
      <c r="B9" s="202">
        <v>1.0</v>
      </c>
      <c r="C9" s="321">
        <v>650000.0</v>
      </c>
      <c r="D9" s="246">
        <f t="shared" ref="D9:I9" si="5">D8</f>
        <v>0.0417</v>
      </c>
      <c r="E9" s="247">
        <f t="shared" si="5"/>
        <v>0.09</v>
      </c>
      <c r="F9" s="248">
        <f t="shared" si="5"/>
        <v>0.085</v>
      </c>
      <c r="G9" s="247">
        <f t="shared" si="5"/>
        <v>0.12</v>
      </c>
      <c r="H9" s="246">
        <f t="shared" si="5"/>
        <v>0.0052</v>
      </c>
      <c r="I9" s="249">
        <f t="shared" si="5"/>
        <v>162000</v>
      </c>
      <c r="J9" s="321">
        <f t="shared" si="4"/>
        <v>1034235</v>
      </c>
      <c r="K9" s="321">
        <f t="shared" si="1"/>
        <v>1034235</v>
      </c>
      <c r="L9" s="161">
        <f t="shared" si="2"/>
        <v>34474.5</v>
      </c>
      <c r="M9" s="14">
        <f t="shared" si="3"/>
        <v>71.821875</v>
      </c>
    </row>
    <row r="10">
      <c r="A10" s="96" t="s">
        <v>319</v>
      </c>
      <c r="B10" s="18"/>
      <c r="C10" s="18"/>
      <c r="D10" s="18"/>
      <c r="E10" s="18"/>
      <c r="F10" s="18"/>
      <c r="G10" s="18"/>
      <c r="H10" s="18"/>
      <c r="I10" s="18"/>
      <c r="J10" s="19"/>
      <c r="K10" s="323">
        <f>SUM(K6:K9)</f>
        <v>16230375</v>
      </c>
    </row>
    <row r="12">
      <c r="A12" s="222" t="s">
        <v>320</v>
      </c>
      <c r="B12" s="195" t="s">
        <v>195</v>
      </c>
      <c r="C12" s="18"/>
      <c r="D12" s="18"/>
      <c r="E12" s="18"/>
      <c r="F12" s="18"/>
      <c r="G12" s="18"/>
      <c r="H12" s="18"/>
      <c r="I12" s="18"/>
      <c r="J12" s="18"/>
      <c r="K12" s="19"/>
    </row>
    <row r="13">
      <c r="A13" s="38"/>
      <c r="B13" s="197" t="s">
        <v>198</v>
      </c>
      <c r="C13" s="199" t="s">
        <v>199</v>
      </c>
      <c r="D13" s="197" t="s">
        <v>200</v>
      </c>
      <c r="E13" s="197" t="s">
        <v>201</v>
      </c>
      <c r="F13" s="197" t="s">
        <v>202</v>
      </c>
      <c r="G13" s="200" t="s">
        <v>203</v>
      </c>
      <c r="H13" s="197" t="s">
        <v>204</v>
      </c>
      <c r="I13" s="200" t="s">
        <v>205</v>
      </c>
      <c r="J13" s="200" t="s">
        <v>228</v>
      </c>
      <c r="K13" s="200" t="s">
        <v>207</v>
      </c>
    </row>
    <row r="14">
      <c r="A14" s="177" t="s">
        <v>258</v>
      </c>
      <c r="B14" s="202">
        <v>2.0</v>
      </c>
      <c r="C14" s="319">
        <v>1600000.0</v>
      </c>
      <c r="D14" s="246">
        <v>0.0417</v>
      </c>
      <c r="E14" s="247">
        <v>0.09</v>
      </c>
      <c r="F14" s="248">
        <v>0.085</v>
      </c>
      <c r="G14" s="247">
        <v>0.12</v>
      </c>
      <c r="H14" s="246">
        <v>0.0052</v>
      </c>
      <c r="I14" s="249">
        <f>+I15</f>
        <v>162000</v>
      </c>
      <c r="J14" s="321">
        <f t="shared" ref="J14:J15" si="6">C14*D14+C14*E14+C14*F14+C14*G14+C14*H14+I14+C14</f>
        <v>2309040</v>
      </c>
      <c r="K14" s="321">
        <f t="shared" ref="K14:K15" si="7">J14*B14</f>
        <v>4618080</v>
      </c>
      <c r="L14" s="161">
        <f t="shared" ref="L14:L15" si="8">J14/30</f>
        <v>76968</v>
      </c>
      <c r="M14" s="14">
        <f t="shared" ref="M14:M15" si="9">L14/480</f>
        <v>160.35</v>
      </c>
    </row>
    <row r="15">
      <c r="A15" s="177" t="s">
        <v>259</v>
      </c>
      <c r="B15" s="322">
        <v>2.0</v>
      </c>
      <c r="C15" s="321">
        <v>1300000.0</v>
      </c>
      <c r="D15" s="246">
        <v>0.0417</v>
      </c>
      <c r="E15" s="247">
        <v>0.09</v>
      </c>
      <c r="F15" s="248">
        <v>0.085</v>
      </c>
      <c r="G15" s="247">
        <v>0.12</v>
      </c>
      <c r="H15" s="246">
        <v>0.0052</v>
      </c>
      <c r="I15" s="249">
        <v>162000.0</v>
      </c>
      <c r="J15" s="321">
        <f t="shared" si="6"/>
        <v>1906470</v>
      </c>
      <c r="K15" s="321">
        <f t="shared" si="7"/>
        <v>3812940</v>
      </c>
      <c r="L15" s="161">
        <f t="shared" si="8"/>
        <v>63549</v>
      </c>
      <c r="M15" s="14">
        <f t="shared" si="9"/>
        <v>132.39375</v>
      </c>
    </row>
    <row r="16">
      <c r="A16" s="96" t="s">
        <v>319</v>
      </c>
      <c r="B16" s="18"/>
      <c r="C16" s="18"/>
      <c r="D16" s="18"/>
      <c r="E16" s="18"/>
      <c r="F16" s="18"/>
      <c r="G16" s="18"/>
      <c r="H16" s="18"/>
      <c r="I16" s="18"/>
      <c r="J16" s="19"/>
      <c r="K16" s="323">
        <f>SUM(K14:K15)</f>
        <v>8431020</v>
      </c>
    </row>
    <row r="19">
      <c r="A19" s="222" t="s">
        <v>227</v>
      </c>
      <c r="B19" s="195" t="s">
        <v>195</v>
      </c>
      <c r="C19" s="18"/>
      <c r="D19" s="18"/>
      <c r="E19" s="18"/>
      <c r="F19" s="18"/>
      <c r="G19" s="18"/>
      <c r="H19" s="18"/>
      <c r="I19" s="18"/>
      <c r="J19" s="18"/>
      <c r="K19" s="19"/>
    </row>
    <row r="20">
      <c r="A20" s="38"/>
      <c r="B20" s="198" t="s">
        <v>198</v>
      </c>
      <c r="C20" s="199" t="s">
        <v>199</v>
      </c>
      <c r="D20" s="197" t="s">
        <v>200</v>
      </c>
      <c r="E20" s="197" t="s">
        <v>201</v>
      </c>
      <c r="F20" s="197" t="s">
        <v>202</v>
      </c>
      <c r="G20" s="200" t="s">
        <v>203</v>
      </c>
      <c r="H20" s="197" t="s">
        <v>204</v>
      </c>
      <c r="I20" s="200" t="s">
        <v>205</v>
      </c>
      <c r="J20" s="200" t="s">
        <v>228</v>
      </c>
      <c r="K20" s="197" t="s">
        <v>207</v>
      </c>
    </row>
    <row r="21">
      <c r="A21" s="177" t="s">
        <v>229</v>
      </c>
      <c r="B21" s="204">
        <v>1.0</v>
      </c>
      <c r="C21" s="319">
        <v>1500000.0</v>
      </c>
      <c r="D21" s="246">
        <v>0.0417</v>
      </c>
      <c r="E21" s="247">
        <f t="shared" ref="E21:I21" si="10">E22</f>
        <v>0.09</v>
      </c>
      <c r="F21" s="248">
        <f t="shared" si="10"/>
        <v>0.085</v>
      </c>
      <c r="G21" s="247">
        <f t="shared" si="10"/>
        <v>0.12</v>
      </c>
      <c r="H21" s="246">
        <f t="shared" si="10"/>
        <v>0.0052</v>
      </c>
      <c r="I21" s="249">
        <f t="shared" si="10"/>
        <v>162000</v>
      </c>
      <c r="J21" s="321">
        <f t="shared" ref="J21:J23" si="11">C21*D21+C21*E21+C21*F21+C21*G21+C21*H21+I21+C21</f>
        <v>2174850</v>
      </c>
      <c r="K21" s="321">
        <f t="shared" ref="K21:K23" si="12">J21*B21</f>
        <v>2174850</v>
      </c>
    </row>
    <row r="22">
      <c r="A22" s="177" t="s">
        <v>230</v>
      </c>
      <c r="B22" s="322">
        <v>2.0</v>
      </c>
      <c r="C22" s="321">
        <v>1300000.0</v>
      </c>
      <c r="D22" s="246">
        <v>0.0417</v>
      </c>
      <c r="E22" s="247">
        <v>0.09</v>
      </c>
      <c r="F22" s="248">
        <v>0.085</v>
      </c>
      <c r="G22" s="247">
        <v>0.12</v>
      </c>
      <c r="H22" s="246">
        <v>0.0052</v>
      </c>
      <c r="I22" s="249">
        <v>162000.0</v>
      </c>
      <c r="J22" s="321">
        <f t="shared" si="11"/>
        <v>1906470</v>
      </c>
      <c r="K22" s="321">
        <f t="shared" si="12"/>
        <v>3812940</v>
      </c>
    </row>
    <row r="23">
      <c r="A23" s="177" t="s">
        <v>231</v>
      </c>
      <c r="B23" s="202">
        <v>1.0</v>
      </c>
      <c r="C23" s="319">
        <v>1300000.0</v>
      </c>
      <c r="D23" s="246">
        <v>0.0417</v>
      </c>
      <c r="E23" s="247">
        <v>0.09</v>
      </c>
      <c r="F23" s="248">
        <v>0.085</v>
      </c>
      <c r="G23" s="247">
        <v>0.12</v>
      </c>
      <c r="H23" s="246">
        <v>0.0052</v>
      </c>
      <c r="I23" s="249">
        <f>+I22</f>
        <v>162000</v>
      </c>
      <c r="J23" s="321">
        <f t="shared" si="11"/>
        <v>1906470</v>
      </c>
      <c r="K23" s="321">
        <f t="shared" si="12"/>
        <v>1906470</v>
      </c>
      <c r="L23" s="161">
        <f>J23/30</f>
        <v>63549</v>
      </c>
      <c r="M23" s="14">
        <f>L23/480</f>
        <v>132.39375</v>
      </c>
    </row>
    <row r="24">
      <c r="A24" s="96" t="s">
        <v>319</v>
      </c>
      <c r="B24" s="18"/>
      <c r="C24" s="18"/>
      <c r="D24" s="18"/>
      <c r="E24" s="18"/>
      <c r="F24" s="18"/>
      <c r="G24" s="18"/>
      <c r="H24" s="18"/>
      <c r="I24" s="18"/>
      <c r="J24" s="19"/>
      <c r="K24" s="324">
        <f>SUM(K21:K23)</f>
        <v>7894260</v>
      </c>
    </row>
    <row r="25">
      <c r="A25" s="101"/>
      <c r="B25" s="101"/>
      <c r="C25" s="101"/>
      <c r="D25" s="101"/>
      <c r="E25" s="101"/>
      <c r="F25" s="101"/>
      <c r="G25" s="101"/>
      <c r="H25" s="101"/>
      <c r="I25" s="101"/>
      <c r="J25" s="325"/>
      <c r="K25" s="101"/>
    </row>
    <row r="26">
      <c r="A26" s="326" t="s">
        <v>321</v>
      </c>
      <c r="B26" s="195" t="s">
        <v>195</v>
      </c>
      <c r="C26" s="18"/>
      <c r="D26" s="18"/>
      <c r="E26" s="18"/>
      <c r="F26" s="18"/>
      <c r="G26" s="18"/>
      <c r="H26" s="18"/>
      <c r="I26" s="18"/>
      <c r="J26" s="18"/>
      <c r="K26" s="19"/>
    </row>
    <row r="27" ht="36.0" customHeight="1">
      <c r="A27" s="38"/>
      <c r="B27" s="198" t="s">
        <v>198</v>
      </c>
      <c r="C27" s="199" t="s">
        <v>199</v>
      </c>
      <c r="D27" s="197" t="s">
        <v>200</v>
      </c>
      <c r="E27" s="197" t="s">
        <v>201</v>
      </c>
      <c r="F27" s="197" t="s">
        <v>202</v>
      </c>
      <c r="G27" s="200" t="s">
        <v>203</v>
      </c>
      <c r="H27" s="197" t="s">
        <v>204</v>
      </c>
      <c r="I27" s="200" t="s">
        <v>205</v>
      </c>
      <c r="J27" s="201" t="s">
        <v>206</v>
      </c>
      <c r="K27" s="200" t="s">
        <v>207</v>
      </c>
    </row>
    <row r="28">
      <c r="A28" s="210" t="s">
        <v>322</v>
      </c>
      <c r="B28" s="204">
        <v>1.0</v>
      </c>
      <c r="C28" s="319">
        <v>1600000.0</v>
      </c>
      <c r="D28" s="246">
        <f t="shared" ref="D28:I28" si="13">D23</f>
        <v>0.0417</v>
      </c>
      <c r="E28" s="247">
        <f t="shared" si="13"/>
        <v>0.09</v>
      </c>
      <c r="F28" s="248">
        <f t="shared" si="13"/>
        <v>0.085</v>
      </c>
      <c r="G28" s="247">
        <f t="shared" si="13"/>
        <v>0.12</v>
      </c>
      <c r="H28" s="246">
        <f t="shared" si="13"/>
        <v>0.0052</v>
      </c>
      <c r="I28" s="249">
        <f t="shared" si="13"/>
        <v>162000</v>
      </c>
      <c r="J28" s="321">
        <f t="shared" ref="J28:J29" si="15">C28*D28+C28*E28+C28*F28+C28*G28+C28*H28+I28+C28</f>
        <v>2309040</v>
      </c>
      <c r="K28" s="321">
        <f t="shared" ref="K28:K30" si="16">J28*B28</f>
        <v>2309040</v>
      </c>
    </row>
    <row r="29">
      <c r="A29" s="210" t="s">
        <v>213</v>
      </c>
      <c r="B29" s="211">
        <v>1.0</v>
      </c>
      <c r="C29" s="319">
        <v>2900000.0</v>
      </c>
      <c r="D29" s="246">
        <f t="shared" ref="D29:H29" si="14">D28</f>
        <v>0.0417</v>
      </c>
      <c r="E29" s="247">
        <f t="shared" si="14"/>
        <v>0.09</v>
      </c>
      <c r="F29" s="248">
        <f t="shared" si="14"/>
        <v>0.085</v>
      </c>
      <c r="G29" s="247">
        <f t="shared" si="14"/>
        <v>0.12</v>
      </c>
      <c r="H29" s="246">
        <f t="shared" si="14"/>
        <v>0.0052</v>
      </c>
      <c r="I29" s="202"/>
      <c r="J29" s="321">
        <f t="shared" si="15"/>
        <v>3891510</v>
      </c>
      <c r="K29" s="321">
        <f t="shared" si="16"/>
        <v>3891510</v>
      </c>
    </row>
    <row r="30">
      <c r="A30" s="177" t="s">
        <v>323</v>
      </c>
      <c r="B30" s="202">
        <v>1.0</v>
      </c>
      <c r="C30" s="319">
        <v>1300000.0</v>
      </c>
      <c r="D30" s="215" t="s">
        <v>112</v>
      </c>
      <c r="E30" s="215" t="s">
        <v>112</v>
      </c>
      <c r="F30" s="215" t="s">
        <v>112</v>
      </c>
      <c r="G30" s="215" t="s">
        <v>112</v>
      </c>
      <c r="H30" s="215" t="s">
        <v>112</v>
      </c>
      <c r="I30" s="215" t="s">
        <v>112</v>
      </c>
      <c r="J30" s="321">
        <f>C30</f>
        <v>1300000</v>
      </c>
      <c r="K30" s="321">
        <f t="shared" si="16"/>
        <v>1300000</v>
      </c>
    </row>
    <row r="31">
      <c r="A31" s="96" t="s">
        <v>319</v>
      </c>
      <c r="B31" s="18"/>
      <c r="C31" s="18"/>
      <c r="D31" s="18"/>
      <c r="E31" s="18"/>
      <c r="F31" s="18"/>
      <c r="G31" s="18"/>
      <c r="H31" s="18"/>
      <c r="I31" s="18"/>
      <c r="J31" s="19"/>
      <c r="K31" s="323">
        <f>SUM(K28:K30)</f>
        <v>7500550</v>
      </c>
    </row>
    <row r="33">
      <c r="K33" s="327">
        <f>K31+K24+K16+K10</f>
        <v>40056205</v>
      </c>
    </row>
    <row r="34">
      <c r="A34" s="328" t="s">
        <v>324</v>
      </c>
      <c r="B34" s="18"/>
      <c r="C34" s="18"/>
      <c r="D34" s="18"/>
      <c r="E34" s="18"/>
      <c r="F34" s="18"/>
      <c r="G34" s="19"/>
    </row>
    <row r="35">
      <c r="A35" s="329" t="s">
        <v>325</v>
      </c>
      <c r="B35" s="329" t="s">
        <v>198</v>
      </c>
      <c r="C35" s="330" t="str">
        <f>C27</f>
        <v>Salario mensual </v>
      </c>
      <c r="D35" s="330" t="str">
        <f>I27</f>
        <v>Auxilio de transporte</v>
      </c>
      <c r="E35" s="330" t="s">
        <v>326</v>
      </c>
      <c r="F35" s="330" t="s">
        <v>228</v>
      </c>
      <c r="G35" s="330" t="s">
        <v>327</v>
      </c>
    </row>
    <row r="36">
      <c r="A36" s="331" t="str">
        <f t="shared" ref="A36:C36" si="17">A6</f>
        <v>Chef ejecutivo</v>
      </c>
      <c r="B36" s="331">
        <f t="shared" si="17"/>
        <v>1</v>
      </c>
      <c r="C36" s="332">
        <f t="shared" si="17"/>
        <v>2500000</v>
      </c>
      <c r="D36" s="332" t="str">
        <f t="shared" ref="D36:D39" si="19">I6</f>
        <v>-</v>
      </c>
      <c r="E36" s="332">
        <f t="shared" ref="E36:E39" si="20">C6*D6+C6*E6+C6*F6+C6*G6+C6*H6</f>
        <v>854750</v>
      </c>
      <c r="F36" s="332">
        <f t="shared" ref="F36:F46" si="21">SUM(C36:E36)</f>
        <v>3354750</v>
      </c>
      <c r="G36" s="332">
        <f t="shared" ref="G36:G46" si="22">F36*B36</f>
        <v>3354750</v>
      </c>
    </row>
    <row r="37">
      <c r="A37" s="333" t="str">
        <f t="shared" ref="A37:C37" si="18">A7</f>
        <v>Sous chef</v>
      </c>
      <c r="B37" s="331">
        <f t="shared" si="18"/>
        <v>1</v>
      </c>
      <c r="C37" s="332">
        <f t="shared" si="18"/>
        <v>1600000</v>
      </c>
      <c r="D37" s="332">
        <f t="shared" si="19"/>
        <v>162000</v>
      </c>
      <c r="E37" s="332">
        <f t="shared" si="20"/>
        <v>547040</v>
      </c>
      <c r="F37" s="332">
        <f t="shared" si="21"/>
        <v>2309040</v>
      </c>
      <c r="G37" s="332">
        <f t="shared" si="22"/>
        <v>2309040</v>
      </c>
    </row>
    <row r="38">
      <c r="A38" s="331" t="str">
        <f t="shared" ref="A38:C38" si="23">A8</f>
        <v>Auxiliar de cocina</v>
      </c>
      <c r="B38" s="331">
        <f t="shared" si="23"/>
        <v>5</v>
      </c>
      <c r="C38" s="332">
        <f t="shared" si="23"/>
        <v>1300000</v>
      </c>
      <c r="D38" s="332">
        <f t="shared" si="19"/>
        <v>162000</v>
      </c>
      <c r="E38" s="332">
        <f t="shared" si="20"/>
        <v>444470</v>
      </c>
      <c r="F38" s="332">
        <f t="shared" si="21"/>
        <v>1906470</v>
      </c>
      <c r="G38" s="332">
        <f t="shared" si="22"/>
        <v>9532350</v>
      </c>
    </row>
    <row r="39">
      <c r="A39" s="334" t="s">
        <v>256</v>
      </c>
      <c r="B39" s="334">
        <v>1.0</v>
      </c>
      <c r="C39" s="332">
        <f>C9</f>
        <v>650000</v>
      </c>
      <c r="D39" s="332">
        <f t="shared" si="19"/>
        <v>162000</v>
      </c>
      <c r="E39" s="332">
        <f t="shared" si="20"/>
        <v>222235</v>
      </c>
      <c r="F39" s="332">
        <f t="shared" si="21"/>
        <v>1034235</v>
      </c>
      <c r="G39" s="332">
        <f t="shared" si="22"/>
        <v>1034235</v>
      </c>
    </row>
    <row r="40">
      <c r="A40" s="331" t="str">
        <f t="shared" ref="A40:C40" si="24">A14</f>
        <v>Bar tender</v>
      </c>
      <c r="B40" s="331">
        <f t="shared" si="24"/>
        <v>2</v>
      </c>
      <c r="C40" s="332">
        <f t="shared" si="24"/>
        <v>1600000</v>
      </c>
      <c r="D40" s="332">
        <f t="shared" ref="D40:D41" si="26">I14</f>
        <v>162000</v>
      </c>
      <c r="E40" s="332">
        <f t="shared" ref="E40:E41" si="27">C14*D14+C14*E14+C14*F14+C14*G14+C14*H14</f>
        <v>547040</v>
      </c>
      <c r="F40" s="332">
        <f t="shared" si="21"/>
        <v>2309040</v>
      </c>
      <c r="G40" s="332">
        <f t="shared" si="22"/>
        <v>4618080</v>
      </c>
    </row>
    <row r="41">
      <c r="A41" s="333" t="str">
        <f t="shared" ref="A41:C41" si="25">A15</f>
        <v>Auxiliares de barra</v>
      </c>
      <c r="B41" s="331">
        <f t="shared" si="25"/>
        <v>2</v>
      </c>
      <c r="C41" s="332">
        <f t="shared" si="25"/>
        <v>1300000</v>
      </c>
      <c r="D41" s="332">
        <f t="shared" si="26"/>
        <v>162000</v>
      </c>
      <c r="E41" s="332">
        <f t="shared" si="27"/>
        <v>444470</v>
      </c>
      <c r="F41" s="332">
        <f t="shared" si="21"/>
        <v>1906470</v>
      </c>
      <c r="G41" s="332">
        <f t="shared" si="22"/>
        <v>3812940</v>
      </c>
    </row>
    <row r="42">
      <c r="A42" s="331" t="str">
        <f t="shared" ref="A42:C42" si="28">A21</f>
        <v>Maitre</v>
      </c>
      <c r="B42" s="331">
        <f t="shared" si="28"/>
        <v>1</v>
      </c>
      <c r="C42" s="332">
        <f t="shared" si="28"/>
        <v>1500000</v>
      </c>
      <c r="D42" s="332">
        <f t="shared" ref="D42:D44" si="30">I21</f>
        <v>162000</v>
      </c>
      <c r="E42" s="332">
        <f t="shared" ref="E42:E44" si="31">C21*D21+C21*E21+C21*F21+C21*G21+C21*H21</f>
        <v>512850</v>
      </c>
      <c r="F42" s="332">
        <f t="shared" si="21"/>
        <v>2174850</v>
      </c>
      <c r="G42" s="332">
        <f t="shared" si="22"/>
        <v>2174850</v>
      </c>
    </row>
    <row r="43">
      <c r="A43" s="331" t="str">
        <f t="shared" ref="A43:C43" si="29">A22</f>
        <v>Meseros</v>
      </c>
      <c r="B43" s="331">
        <f t="shared" si="29"/>
        <v>2</v>
      </c>
      <c r="C43" s="332">
        <f t="shared" si="29"/>
        <v>1300000</v>
      </c>
      <c r="D43" s="332">
        <f t="shared" si="30"/>
        <v>162000</v>
      </c>
      <c r="E43" s="332">
        <f t="shared" si="31"/>
        <v>444470</v>
      </c>
      <c r="F43" s="332">
        <f t="shared" si="21"/>
        <v>1906470</v>
      </c>
      <c r="G43" s="332">
        <f t="shared" si="22"/>
        <v>3812940</v>
      </c>
    </row>
    <row r="44">
      <c r="A44" s="331" t="str">
        <f t="shared" ref="A44:C44" si="32">A23</f>
        <v>Cajero</v>
      </c>
      <c r="B44" s="331">
        <f t="shared" si="32"/>
        <v>1</v>
      </c>
      <c r="C44" s="332">
        <f t="shared" si="32"/>
        <v>1300000</v>
      </c>
      <c r="D44" s="332">
        <f t="shared" si="30"/>
        <v>162000</v>
      </c>
      <c r="E44" s="332">
        <f t="shared" si="31"/>
        <v>444470</v>
      </c>
      <c r="F44" s="332">
        <f t="shared" si="21"/>
        <v>1906470</v>
      </c>
      <c r="G44" s="332">
        <f t="shared" si="22"/>
        <v>1906470</v>
      </c>
      <c r="H44" s="335"/>
    </row>
    <row r="45">
      <c r="A45" s="331" t="str">
        <f t="shared" ref="A45:C45" si="33">A28</f>
        <v>Auxiliar Administrativo y contable</v>
      </c>
      <c r="B45" s="331">
        <f t="shared" si="33"/>
        <v>1</v>
      </c>
      <c r="C45" s="332">
        <f t="shared" si="33"/>
        <v>1600000</v>
      </c>
      <c r="D45" s="332">
        <f>I28</f>
        <v>162000</v>
      </c>
      <c r="E45" s="332">
        <f>C28*D28+C28*E28+C28*F28+C28*G28+C28*H28</f>
        <v>547040</v>
      </c>
      <c r="F45" s="332">
        <f t="shared" si="21"/>
        <v>2309040</v>
      </c>
      <c r="G45" s="332">
        <f t="shared" si="22"/>
        <v>2309040</v>
      </c>
    </row>
    <row r="46">
      <c r="A46" s="333" t="str">
        <f t="shared" ref="A46:C46" si="34">A30</f>
        <v>Comunnity Manager</v>
      </c>
      <c r="B46" s="331">
        <f t="shared" si="34"/>
        <v>1</v>
      </c>
      <c r="C46" s="332">
        <f t="shared" si="34"/>
        <v>1300000</v>
      </c>
      <c r="D46" s="332" t="str">
        <f>I30</f>
        <v>-</v>
      </c>
      <c r="E46" s="332" t="str">
        <f>H30</f>
        <v>-</v>
      </c>
      <c r="F46" s="332">
        <f t="shared" si="21"/>
        <v>1300000</v>
      </c>
      <c r="G46" s="332">
        <f t="shared" si="22"/>
        <v>1300000</v>
      </c>
    </row>
    <row r="47">
      <c r="A47" s="328" t="s">
        <v>328</v>
      </c>
      <c r="B47" s="18"/>
      <c r="C47" s="18"/>
      <c r="D47" s="18"/>
      <c r="E47" s="18"/>
      <c r="F47" s="19"/>
      <c r="G47" s="336">
        <f>SUM(G36:G46)</f>
        <v>36164695</v>
      </c>
    </row>
    <row r="48">
      <c r="B48" s="161">
        <f>SUM(B36:B46)</f>
        <v>18</v>
      </c>
      <c r="G48" s="337">
        <f>G47*12</f>
        <v>433976340</v>
      </c>
    </row>
    <row r="50">
      <c r="A50" s="338" t="s">
        <v>329</v>
      </c>
      <c r="B50" s="339">
        <f>SUM(B36:B46)</f>
        <v>18</v>
      </c>
    </row>
  </sheetData>
  <mergeCells count="15">
    <mergeCell ref="A19:A20"/>
    <mergeCell ref="B19:K19"/>
    <mergeCell ref="A24:J24"/>
    <mergeCell ref="A26:A27"/>
    <mergeCell ref="B26:K26"/>
    <mergeCell ref="A31:J31"/>
    <mergeCell ref="A34:G34"/>
    <mergeCell ref="A47:F47"/>
    <mergeCell ref="A2:K2"/>
    <mergeCell ref="A4:A5"/>
    <mergeCell ref="B4:K4"/>
    <mergeCell ref="A10:J10"/>
    <mergeCell ref="A12:A13"/>
    <mergeCell ref="B12:K12"/>
    <mergeCell ref="A16:J16"/>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16.0"/>
    <col customWidth="1" min="10" max="10" width="13.63"/>
  </cols>
  <sheetData>
    <row r="3">
      <c r="B3" s="293"/>
      <c r="C3" s="295"/>
      <c r="D3" s="295"/>
      <c r="E3" s="340" t="s">
        <v>330</v>
      </c>
      <c r="F3" s="341" t="s">
        <v>331</v>
      </c>
      <c r="G3" s="341" t="s">
        <v>297</v>
      </c>
      <c r="H3" s="341" t="s">
        <v>298</v>
      </c>
      <c r="I3" s="341" t="s">
        <v>299</v>
      </c>
      <c r="J3" s="341" t="s">
        <v>300</v>
      </c>
    </row>
    <row r="4">
      <c r="B4" s="261" t="s">
        <v>332</v>
      </c>
      <c r="C4" s="18"/>
      <c r="D4" s="19"/>
      <c r="E4" s="342"/>
      <c r="F4" s="83">
        <f>'ESTADO DE RESULTADOS'!C12</f>
        <v>1567522405</v>
      </c>
      <c r="G4" s="83">
        <f>'ESTADO DE RESULTADOS'!D12</f>
        <v>1614548078</v>
      </c>
      <c r="H4" s="83">
        <f>'ESTADO DE RESULTADOS'!E12</f>
        <v>1662984520</v>
      </c>
      <c r="I4" s="83">
        <f>'ESTADO DE RESULTADOS'!F12</f>
        <v>1712874056</v>
      </c>
      <c r="J4" s="83">
        <f>'ESTADO DE RESULTADOS'!G12</f>
        <v>1764260277</v>
      </c>
    </row>
    <row r="5">
      <c r="B5" s="343" t="s">
        <v>333</v>
      </c>
      <c r="C5" s="18"/>
      <c r="D5" s="19"/>
      <c r="E5" s="344"/>
      <c r="F5" s="253">
        <f t="shared" ref="F5:J5" si="1">SUM(F4)</f>
        <v>1567522405</v>
      </c>
      <c r="G5" s="253">
        <f t="shared" si="1"/>
        <v>1614548078</v>
      </c>
      <c r="H5" s="253">
        <f t="shared" si="1"/>
        <v>1662984520</v>
      </c>
      <c r="I5" s="253">
        <f t="shared" si="1"/>
        <v>1712874056</v>
      </c>
      <c r="J5" s="253">
        <f t="shared" si="1"/>
        <v>1764260277</v>
      </c>
    </row>
    <row r="6">
      <c r="B6" s="345" t="s">
        <v>334</v>
      </c>
      <c r="C6" s="295"/>
      <c r="D6" s="260"/>
      <c r="E6" s="101"/>
      <c r="F6" s="101"/>
      <c r="G6" s="101"/>
      <c r="H6" s="101"/>
      <c r="I6" s="101"/>
      <c r="J6" s="101"/>
    </row>
    <row r="7">
      <c r="B7" s="346" t="s">
        <v>335</v>
      </c>
      <c r="C7" s="119"/>
      <c r="D7" s="169"/>
      <c r="E7" s="288"/>
      <c r="F7" s="347">
        <f>'ESTADO DE RESULTADOS'!C13</f>
        <v>295936740</v>
      </c>
      <c r="G7" s="347">
        <f>'ESTADO DE RESULTADOS'!D13</f>
        <v>301855474.8</v>
      </c>
      <c r="H7" s="347">
        <f>'ESTADO DE RESULTADOS'!E13</f>
        <v>307892584.3</v>
      </c>
      <c r="I7" s="347">
        <f>'ESTADO DE RESULTADOS'!F13</f>
        <v>314050436</v>
      </c>
      <c r="J7" s="347">
        <f>'ESTADO DE RESULTADOS'!G13</f>
        <v>320331444.7</v>
      </c>
    </row>
    <row r="8">
      <c r="B8" s="348" t="s">
        <v>336</v>
      </c>
      <c r="C8" s="18"/>
      <c r="D8" s="19"/>
      <c r="E8" s="288"/>
      <c r="F8" s="347">
        <f>'ESTADO DE RESULTADOS'!C14</f>
        <v>856262061.8</v>
      </c>
      <c r="G8" s="347">
        <f>'ESTADO DE RESULTADOS'!D14</f>
        <v>873387303</v>
      </c>
      <c r="H8" s="347">
        <f>'ESTADO DE RESULTADOS'!E14</f>
        <v>889797911.5</v>
      </c>
      <c r="I8" s="347">
        <f>'ESTADO DE RESULTADOS'!F14</f>
        <v>908672150.1</v>
      </c>
      <c r="J8" s="347">
        <f>'ESTADO DE RESULTADOS'!G14</f>
        <v>926845593.1</v>
      </c>
    </row>
    <row r="9">
      <c r="B9" s="348" t="s">
        <v>337</v>
      </c>
      <c r="C9" s="18"/>
      <c r="D9" s="19"/>
      <c r="E9" s="288"/>
      <c r="F9" s="347">
        <f>'ESTADO DE RESULTADOS'!C15</f>
        <v>96300720</v>
      </c>
      <c r="G9" s="347">
        <f>'ESTADO DE RESULTADOS'!D15</f>
        <v>98226734.4</v>
      </c>
      <c r="H9" s="347">
        <f>'ESTADO DE RESULTADOS'!E15</f>
        <v>100191269.1</v>
      </c>
      <c r="I9" s="347">
        <f>'ESTADO DE RESULTADOS'!F15</f>
        <v>102195094.5</v>
      </c>
      <c r="J9" s="347">
        <f>'ESTADO DE RESULTADOS'!G15</f>
        <v>104238996.4</v>
      </c>
    </row>
    <row r="10">
      <c r="B10" s="349" t="s">
        <v>338</v>
      </c>
      <c r="C10" s="121"/>
      <c r="D10" s="350"/>
      <c r="E10" s="288"/>
      <c r="F10" s="351">
        <f>-'COSTOS Y GASTOS'!E32+'COSTOS Y GASTOS'!E33+'COSTOS Y GASTOS'!E34+'COSTOS Y GASTOS'!E35+'COSTOS Y GASTOS'!E36+'COSTOS Y GASTOS'!E40</f>
        <v>8432507.2</v>
      </c>
      <c r="G10" s="83">
        <f t="shared" ref="G10:J10" si="2">F10</f>
        <v>8432507.2</v>
      </c>
      <c r="H10" s="83">
        <f t="shared" si="2"/>
        <v>8432507.2</v>
      </c>
      <c r="I10" s="83">
        <f t="shared" si="2"/>
        <v>8432507.2</v>
      </c>
      <c r="J10" s="83">
        <f t="shared" si="2"/>
        <v>8432507.2</v>
      </c>
    </row>
    <row r="11">
      <c r="B11" s="352" t="s">
        <v>339</v>
      </c>
      <c r="C11" s="353"/>
      <c r="D11" s="354"/>
      <c r="E11" s="355"/>
      <c r="F11" s="356">
        <f t="shared" ref="F11:J11" si="3">F7+F8+F9+F10</f>
        <v>1256932029</v>
      </c>
      <c r="G11" s="356">
        <f t="shared" si="3"/>
        <v>1281902019</v>
      </c>
      <c r="H11" s="356">
        <f t="shared" si="3"/>
        <v>1306314272</v>
      </c>
      <c r="I11" s="356">
        <f t="shared" si="3"/>
        <v>1333350188</v>
      </c>
      <c r="J11" s="356">
        <f t="shared" si="3"/>
        <v>1359848541</v>
      </c>
    </row>
    <row r="12">
      <c r="B12" s="357" t="s">
        <v>340</v>
      </c>
      <c r="C12" s="18"/>
      <c r="D12" s="19"/>
      <c r="E12" s="355"/>
      <c r="F12" s="253">
        <f t="shared" ref="F12:J12" si="4">F5-F11</f>
        <v>310590376.5</v>
      </c>
      <c r="G12" s="253">
        <f t="shared" si="4"/>
        <v>332646058.2</v>
      </c>
      <c r="H12" s="253">
        <f t="shared" si="4"/>
        <v>356670247.8</v>
      </c>
      <c r="I12" s="253">
        <f t="shared" si="4"/>
        <v>379523867.8</v>
      </c>
      <c r="J12" s="253">
        <f t="shared" si="4"/>
        <v>404411735.9</v>
      </c>
    </row>
    <row r="13">
      <c r="B13" s="358" t="s">
        <v>341</v>
      </c>
      <c r="C13" s="359"/>
      <c r="D13" s="359"/>
      <c r="E13" s="360"/>
      <c r="F13" s="101"/>
      <c r="G13" s="101"/>
      <c r="H13" s="101"/>
      <c r="I13" s="101"/>
      <c r="J13" s="101"/>
    </row>
    <row r="14">
      <c r="B14" s="261" t="s">
        <v>342</v>
      </c>
      <c r="C14" s="121"/>
      <c r="D14" s="361"/>
      <c r="E14" s="362"/>
      <c r="F14" s="83">
        <f>'ESTADO DE RESULTADOS'!C18</f>
        <v>224737108</v>
      </c>
      <c r="G14" s="83">
        <f>'ESTADO DE RESULTADOS'!D18</f>
        <v>229231850.1</v>
      </c>
      <c r="H14" s="83">
        <f>'ESTADO DE RESULTADOS'!E18</f>
        <v>233816487.1</v>
      </c>
      <c r="I14" s="83">
        <f>'ESTADO DE RESULTADOS'!F18</f>
        <v>238492816.9</v>
      </c>
      <c r="J14" s="83">
        <f>'ESTADO DE RESULTADOS'!G18</f>
        <v>243262673.2</v>
      </c>
    </row>
    <row r="15">
      <c r="B15" s="261" t="s">
        <v>343</v>
      </c>
      <c r="C15" s="121"/>
      <c r="D15" s="361"/>
      <c r="E15" s="362"/>
      <c r="F15" s="83">
        <f>-'COSTOS Y GASTOS'!E40</f>
        <v>-1363900</v>
      </c>
      <c r="G15" s="83">
        <f t="shared" ref="G15:J15" si="5">F15</f>
        <v>-1363900</v>
      </c>
      <c r="H15" s="83">
        <f t="shared" si="5"/>
        <v>-1363900</v>
      </c>
      <c r="I15" s="83">
        <f t="shared" si="5"/>
        <v>-1363900</v>
      </c>
      <c r="J15" s="83">
        <f t="shared" si="5"/>
        <v>-1363900</v>
      </c>
    </row>
    <row r="16">
      <c r="B16" s="261" t="s">
        <v>338</v>
      </c>
      <c r="C16" s="121"/>
      <c r="D16" s="361"/>
      <c r="E16" s="362"/>
      <c r="F16" s="351">
        <f>-('COSTOS Y GASTOS'!E32+'COSTOS Y GASTOS'!E33+'COSTOS Y GASTOS'!E34+'COSTOS Y GASTOS'!E35+'COSTOS Y GASTOS'!E36)</f>
        <v>-7068607.2</v>
      </c>
      <c r="G16" s="83">
        <f t="shared" ref="G16:J16" si="6">F16</f>
        <v>-7068607.2</v>
      </c>
      <c r="H16" s="83">
        <f t="shared" si="6"/>
        <v>-7068607.2</v>
      </c>
      <c r="I16" s="83">
        <f t="shared" si="6"/>
        <v>-7068607.2</v>
      </c>
      <c r="J16" s="83">
        <f t="shared" si="6"/>
        <v>-7068607.2</v>
      </c>
    </row>
    <row r="17">
      <c r="B17" s="261" t="s">
        <v>344</v>
      </c>
      <c r="C17" s="121"/>
      <c r="D17" s="361"/>
      <c r="E17" s="362"/>
      <c r="F17" s="83">
        <f>'ESTADO DE RESULTADOS'!C19</f>
        <v>75018120</v>
      </c>
      <c r="G17" s="83">
        <f>'ESTADO DE RESULTADOS'!D19</f>
        <v>76518482.4</v>
      </c>
      <c r="H17" s="83">
        <f>'ESTADO DE RESULTADOS'!E19</f>
        <v>78048852.05</v>
      </c>
      <c r="I17" s="83">
        <f>'ESTADO DE RESULTADOS'!F19</f>
        <v>79609829.09</v>
      </c>
      <c r="J17" s="83">
        <f>'ESTADO DE RESULTADOS'!G19</f>
        <v>81202025.67</v>
      </c>
    </row>
    <row r="18">
      <c r="B18" s="261" t="s">
        <v>345</v>
      </c>
      <c r="C18" s="121"/>
      <c r="D18" s="361"/>
      <c r="E18" s="362"/>
      <c r="F18" s="101"/>
      <c r="G18" s="83">
        <f>'ESTADO DE RESULTADOS'!C23</f>
        <v>1093154.343</v>
      </c>
      <c r="H18" s="83">
        <f>'ESTADO DE RESULTADOS'!D23</f>
        <v>7541455.122</v>
      </c>
      <c r="I18" s="83">
        <f>'ESTADO DE RESULTADOS'!E23</f>
        <v>14831800.57</v>
      </c>
      <c r="J18" s="83">
        <f>'ESTADO DE RESULTADOS'!F23</f>
        <v>21910663.59</v>
      </c>
    </row>
    <row r="19">
      <c r="B19" s="352" t="s">
        <v>346</v>
      </c>
      <c r="C19" s="353"/>
      <c r="D19" s="354"/>
      <c r="E19" s="355"/>
      <c r="F19" s="253">
        <f t="shared" ref="F19:J19" si="7">SUM(F14:F18)</f>
        <v>291322720.8</v>
      </c>
      <c r="G19" s="253">
        <f t="shared" si="7"/>
        <v>298410979.7</v>
      </c>
      <c r="H19" s="253">
        <f t="shared" si="7"/>
        <v>310974287.1</v>
      </c>
      <c r="I19" s="253">
        <f t="shared" si="7"/>
        <v>324501939.3</v>
      </c>
      <c r="J19" s="253">
        <f t="shared" si="7"/>
        <v>337942855.3</v>
      </c>
    </row>
    <row r="20">
      <c r="B20" s="357" t="s">
        <v>347</v>
      </c>
      <c r="C20" s="18"/>
      <c r="D20" s="19"/>
      <c r="E20" s="355"/>
      <c r="F20" s="253">
        <f t="shared" ref="F20:J20" si="8">F12-F19</f>
        <v>19267655.7</v>
      </c>
      <c r="G20" s="253">
        <f t="shared" si="8"/>
        <v>34235078.53</v>
      </c>
      <c r="H20" s="253">
        <f t="shared" si="8"/>
        <v>45695960.71</v>
      </c>
      <c r="I20" s="253">
        <f t="shared" si="8"/>
        <v>55021928.5</v>
      </c>
      <c r="J20" s="253">
        <f t="shared" si="8"/>
        <v>66468880.62</v>
      </c>
    </row>
    <row r="21">
      <c r="B21" s="358" t="s">
        <v>348</v>
      </c>
      <c r="C21" s="359"/>
      <c r="D21" s="359"/>
      <c r="E21" s="360"/>
      <c r="F21" s="360"/>
      <c r="G21" s="360"/>
      <c r="H21" s="360"/>
      <c r="I21" s="360"/>
      <c r="J21" s="360"/>
    </row>
    <row r="22">
      <c r="B22" s="261" t="s">
        <v>269</v>
      </c>
      <c r="C22" s="121"/>
      <c r="D22" s="361"/>
      <c r="E22" s="98">
        <f>INVERSIONES!D76</f>
        <v>57795557</v>
      </c>
      <c r="F22" s="176"/>
      <c r="G22" s="176"/>
      <c r="H22" s="176"/>
      <c r="I22" s="176"/>
      <c r="J22" s="176"/>
    </row>
    <row r="23">
      <c r="B23" s="261" t="s">
        <v>146</v>
      </c>
      <c r="C23" s="121"/>
      <c r="D23" s="361"/>
      <c r="E23" s="98">
        <f>INVERSIONES!D84</f>
        <v>6819500</v>
      </c>
      <c r="F23" s="176"/>
      <c r="G23" s="176"/>
      <c r="H23" s="176"/>
      <c r="I23" s="176"/>
      <c r="J23" s="176"/>
    </row>
    <row r="24">
      <c r="B24" s="261" t="s">
        <v>270</v>
      </c>
      <c r="C24" s="121"/>
      <c r="D24" s="361"/>
      <c r="E24" s="98">
        <f>'COSTOS Y GASTOS'!E92</f>
        <v>177416438.6</v>
      </c>
      <c r="F24" s="176"/>
      <c r="G24" s="176"/>
      <c r="H24" s="176"/>
      <c r="I24" s="176"/>
      <c r="J24" s="176"/>
    </row>
    <row r="25">
      <c r="B25" s="352" t="s">
        <v>349</v>
      </c>
      <c r="C25" s="18"/>
      <c r="D25" s="19"/>
      <c r="E25" s="244">
        <f t="shared" ref="E25:J25" si="9">SUM(E22:E24)</f>
        <v>242031495.6</v>
      </c>
      <c r="F25" s="244">
        <f t="shared" si="9"/>
        <v>0</v>
      </c>
      <c r="G25" s="244">
        <f t="shared" si="9"/>
        <v>0</v>
      </c>
      <c r="H25" s="244">
        <f t="shared" si="9"/>
        <v>0</v>
      </c>
      <c r="I25" s="244">
        <f t="shared" si="9"/>
        <v>0</v>
      </c>
      <c r="J25" s="244">
        <f t="shared" si="9"/>
        <v>0</v>
      </c>
    </row>
    <row r="26">
      <c r="B26" s="357" t="s">
        <v>350</v>
      </c>
      <c r="C26" s="18"/>
      <c r="D26" s="18"/>
      <c r="E26" s="253">
        <f t="shared" ref="E26:J26" si="10">E20-E25</f>
        <v>-242031495.6</v>
      </c>
      <c r="F26" s="253">
        <f t="shared" si="10"/>
        <v>19267655.7</v>
      </c>
      <c r="G26" s="253">
        <f t="shared" si="10"/>
        <v>34235078.53</v>
      </c>
      <c r="H26" s="253">
        <f t="shared" si="10"/>
        <v>45695960.71</v>
      </c>
      <c r="I26" s="253">
        <f t="shared" si="10"/>
        <v>55021928.5</v>
      </c>
      <c r="J26" s="253">
        <f t="shared" si="10"/>
        <v>66468880.62</v>
      </c>
    </row>
    <row r="27">
      <c r="B27" s="358" t="s">
        <v>351</v>
      </c>
      <c r="C27" s="359"/>
      <c r="D27" s="359"/>
      <c r="E27" s="360"/>
      <c r="F27" s="360"/>
      <c r="G27" s="360"/>
      <c r="H27" s="360"/>
      <c r="I27" s="360"/>
      <c r="J27" s="360"/>
    </row>
    <row r="28">
      <c r="B28" s="261" t="s">
        <v>271</v>
      </c>
      <c r="C28" s="121"/>
      <c r="D28" s="361"/>
      <c r="E28" s="83">
        <f>'COSTOS Y GASTOS'!C105</f>
        <v>162031495.6</v>
      </c>
      <c r="F28" s="276"/>
      <c r="G28" s="276"/>
      <c r="H28" s="276"/>
      <c r="I28" s="276"/>
      <c r="J28" s="276"/>
    </row>
    <row r="29">
      <c r="B29" s="261" t="s">
        <v>352</v>
      </c>
      <c r="C29" s="121"/>
      <c r="D29" s="121"/>
      <c r="E29" s="83">
        <f>PRESTAMO!D7</f>
        <v>80000000</v>
      </c>
      <c r="F29" s="276"/>
      <c r="G29" s="276"/>
      <c r="H29" s="276"/>
      <c r="I29" s="276"/>
      <c r="J29" s="276"/>
    </row>
    <row r="30">
      <c r="B30" s="261" t="s">
        <v>353</v>
      </c>
      <c r="C30" s="121"/>
      <c r="D30" s="121"/>
      <c r="E30" s="276"/>
      <c r="F30" s="276"/>
      <c r="G30" s="276"/>
      <c r="H30" s="276"/>
      <c r="I30" s="276"/>
      <c r="J30" s="276"/>
    </row>
    <row r="31">
      <c r="B31" s="352" t="s">
        <v>354</v>
      </c>
      <c r="C31" s="353"/>
      <c r="D31" s="354"/>
      <c r="E31" s="253">
        <f t="shared" ref="E31:J31" si="11">E28+E29+E30</f>
        <v>242031495.6</v>
      </c>
      <c r="F31" s="253">
        <f t="shared" si="11"/>
        <v>0</v>
      </c>
      <c r="G31" s="253">
        <f t="shared" si="11"/>
        <v>0</v>
      </c>
      <c r="H31" s="253">
        <f t="shared" si="11"/>
        <v>0</v>
      </c>
      <c r="I31" s="253">
        <f t="shared" si="11"/>
        <v>0</v>
      </c>
      <c r="J31" s="253">
        <f t="shared" si="11"/>
        <v>0</v>
      </c>
    </row>
    <row r="32">
      <c r="B32" s="358" t="s">
        <v>355</v>
      </c>
      <c r="C32" s="359"/>
      <c r="D32" s="359"/>
      <c r="E32" s="360"/>
      <c r="F32" s="360"/>
      <c r="G32" s="360"/>
      <c r="H32" s="360"/>
      <c r="I32" s="360"/>
      <c r="J32" s="360"/>
    </row>
    <row r="33">
      <c r="B33" s="261" t="s">
        <v>356</v>
      </c>
      <c r="C33" s="121"/>
      <c r="D33" s="361"/>
      <c r="E33" s="276"/>
      <c r="F33" s="83">
        <f>PRESTAMO!K15</f>
        <v>10021654.15</v>
      </c>
      <c r="G33" s="83">
        <f>PRESTAMO!K16</f>
        <v>12384793.49</v>
      </c>
      <c r="H33" s="83">
        <f>PRESTAMO!K17</f>
        <v>15305168.94</v>
      </c>
      <c r="I33" s="83">
        <f>PRESTAMO!K18</f>
        <v>18914178.63</v>
      </c>
      <c r="J33" s="83">
        <f>PRESTAMO!K19</f>
        <v>23374204.79</v>
      </c>
    </row>
    <row r="34">
      <c r="B34" s="261" t="s">
        <v>357</v>
      </c>
      <c r="C34" s="121"/>
      <c r="D34" s="361"/>
      <c r="E34" s="276"/>
      <c r="F34" s="83">
        <f>PRESTAMO!J15</f>
        <v>16144357.58</v>
      </c>
      <c r="G34" s="83">
        <f>PRESTAMO!J16</f>
        <v>13781218.24</v>
      </c>
      <c r="H34" s="83">
        <f>PRESTAMO!J17</f>
        <v>10860842.79</v>
      </c>
      <c r="I34" s="83">
        <f>PRESTAMO!J18</f>
        <v>7251833.099</v>
      </c>
      <c r="J34" s="83">
        <f>PRESTAMO!K19</f>
        <v>23374204.79</v>
      </c>
    </row>
    <row r="35">
      <c r="B35" s="352" t="s">
        <v>358</v>
      </c>
      <c r="C35" s="353"/>
      <c r="D35" s="354"/>
      <c r="E35" s="363">
        <f t="shared" ref="E35:J35" si="12">SUM(E33:E34)</f>
        <v>0</v>
      </c>
      <c r="F35" s="253">
        <f t="shared" si="12"/>
        <v>26166011.73</v>
      </c>
      <c r="G35" s="253">
        <f t="shared" si="12"/>
        <v>26166011.73</v>
      </c>
      <c r="H35" s="253">
        <f t="shared" si="12"/>
        <v>26166011.73</v>
      </c>
      <c r="I35" s="253">
        <f t="shared" si="12"/>
        <v>26166011.73</v>
      </c>
      <c r="J35" s="253">
        <f t="shared" si="12"/>
        <v>46748409.58</v>
      </c>
    </row>
    <row r="36">
      <c r="B36" s="357" t="s">
        <v>359</v>
      </c>
      <c r="C36" s="353"/>
      <c r="D36" s="353"/>
      <c r="E36" s="253">
        <f t="shared" ref="E36:J36" si="13">E31-E35</f>
        <v>242031495.6</v>
      </c>
      <c r="F36" s="253">
        <f t="shared" si="13"/>
        <v>-26166011.73</v>
      </c>
      <c r="G36" s="253">
        <f t="shared" si="13"/>
        <v>-26166011.73</v>
      </c>
      <c r="H36" s="253">
        <f t="shared" si="13"/>
        <v>-26166011.73</v>
      </c>
      <c r="I36" s="253">
        <f t="shared" si="13"/>
        <v>-26166011.73</v>
      </c>
      <c r="J36" s="253">
        <f t="shared" si="13"/>
        <v>-46748409.58</v>
      </c>
    </row>
    <row r="37">
      <c r="B37" s="357" t="s">
        <v>360</v>
      </c>
      <c r="C37" s="353"/>
      <c r="D37" s="353"/>
      <c r="E37" s="244">
        <f t="shared" ref="E37:J37" si="14">E26+E36</f>
        <v>0</v>
      </c>
      <c r="F37" s="244">
        <f t="shared" si="14"/>
        <v>-6898356.024</v>
      </c>
      <c r="G37" s="244">
        <f t="shared" si="14"/>
        <v>8069066.801</v>
      </c>
      <c r="H37" s="244">
        <f t="shared" si="14"/>
        <v>19529948.99</v>
      </c>
      <c r="I37" s="244">
        <f t="shared" si="14"/>
        <v>28855916.78</v>
      </c>
      <c r="J37" s="244">
        <f t="shared" si="14"/>
        <v>19720471.04</v>
      </c>
    </row>
    <row r="38">
      <c r="B38" s="261" t="s">
        <v>361</v>
      </c>
      <c r="C38" s="121"/>
      <c r="D38" s="361"/>
      <c r="E38" s="83">
        <f>E26+E37</f>
        <v>-242031495.6</v>
      </c>
      <c r="F38" s="83">
        <f t="shared" ref="F38:J38" si="15">F37</f>
        <v>-6898356.024</v>
      </c>
      <c r="G38" s="83">
        <f t="shared" si="15"/>
        <v>8069066.801</v>
      </c>
      <c r="H38" s="83">
        <f t="shared" si="15"/>
        <v>19529948.99</v>
      </c>
      <c r="I38" s="83">
        <f t="shared" si="15"/>
        <v>28855916.78</v>
      </c>
      <c r="J38" s="83">
        <f t="shared" si="15"/>
        <v>19720471.04</v>
      </c>
    </row>
    <row r="39">
      <c r="B39" s="261" t="s">
        <v>362</v>
      </c>
      <c r="C39" s="121"/>
      <c r="D39" s="361"/>
      <c r="E39" s="276"/>
      <c r="F39" s="83">
        <f>'COSTOS Y GASTOS'!D100</f>
        <v>177416438.6</v>
      </c>
      <c r="G39" s="83">
        <f t="shared" ref="G39:J39" si="16">F40</f>
        <v>170518082.5</v>
      </c>
      <c r="H39" s="83">
        <f t="shared" si="16"/>
        <v>178587149.3</v>
      </c>
      <c r="I39" s="83">
        <f t="shared" si="16"/>
        <v>198117098.3</v>
      </c>
      <c r="J39" s="83">
        <f t="shared" si="16"/>
        <v>226973015.1</v>
      </c>
    </row>
    <row r="40">
      <c r="B40" s="357" t="s">
        <v>363</v>
      </c>
      <c r="C40" s="18"/>
      <c r="D40" s="19"/>
      <c r="E40" s="253">
        <f t="shared" ref="E40:J40" si="17">E38+E39</f>
        <v>-242031495.6</v>
      </c>
      <c r="F40" s="253">
        <f t="shared" si="17"/>
        <v>170518082.5</v>
      </c>
      <c r="G40" s="253">
        <f t="shared" si="17"/>
        <v>178587149.3</v>
      </c>
      <c r="H40" s="253">
        <f t="shared" si="17"/>
        <v>198117098.3</v>
      </c>
      <c r="I40" s="253">
        <f t="shared" si="17"/>
        <v>226973015.1</v>
      </c>
      <c r="J40" s="253">
        <f t="shared" si="17"/>
        <v>246693486.1</v>
      </c>
    </row>
  </sheetData>
  <mergeCells count="12">
    <mergeCell ref="B12:D12"/>
    <mergeCell ref="B20:D20"/>
    <mergeCell ref="B25:D25"/>
    <mergeCell ref="B26:D26"/>
    <mergeCell ref="B40:D40"/>
    <mergeCell ref="B3:D3"/>
    <mergeCell ref="B4:D4"/>
    <mergeCell ref="B5:D5"/>
    <mergeCell ref="B6:D6"/>
    <mergeCell ref="B7:D7"/>
    <mergeCell ref="B8:D8"/>
    <mergeCell ref="B9:D9"/>
  </mergeCells>
  <drawing r:id="rId1"/>
</worksheet>
</file>