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f5ed8b0d2387e46/Documentos/TRABAJO DE GRADO/APÉNDICES/"/>
    </mc:Choice>
  </mc:AlternateContent>
  <xr:revisionPtr revIDLastSave="8" documentId="8_{07A0FC28-6CF8-45F8-9C24-D0532542FA8D}" xr6:coauthVersionLast="47" xr6:coauthVersionMax="47" xr10:uidLastSave="{D1E262FF-7463-4E02-9C57-7251E8261EF2}"/>
  <bookViews>
    <workbookView xWindow="1536" yWindow="1536" windowWidth="18840" windowHeight="9156" xr2:uid="{00000000-000D-0000-FFFF-FFFF00000000}"/>
  </bookViews>
  <sheets>
    <sheet name="INVERSIONES " sheetId="1" r:id="rId1"/>
    <sheet name="COSTOS Y GASTOS" sheetId="14" r:id="rId2"/>
    <sheet name="Hoja1" sheetId="19" state="hidden" r:id="rId3"/>
    <sheet name="CRÉDITO" sheetId="15" r:id="rId4"/>
    <sheet name="COSTOS RESUMEN" sheetId="17" r:id="rId5"/>
    <sheet name="PROYECCIONES" sheetId="16" r:id="rId6"/>
    <sheet name="EVALUACIÓN" sheetId="18" r:id="rId7"/>
  </sheets>
  <definedNames>
    <definedName name="Gastos_Financier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6" l="1"/>
  <c r="H35" i="16"/>
  <c r="I35" i="16"/>
  <c r="J35" i="16"/>
  <c r="G35" i="16"/>
  <c r="E85" i="1" l="1"/>
  <c r="E47" i="1"/>
  <c r="E44" i="1" l="1"/>
  <c r="E76" i="1"/>
  <c r="E75" i="1"/>
  <c r="D110" i="1"/>
  <c r="G144" i="16" s="1"/>
  <c r="H144" i="16" s="1"/>
  <c r="P37" i="16"/>
  <c r="P36" i="16"/>
  <c r="D78" i="14"/>
  <c r="F71" i="14" s="1"/>
  <c r="H71" i="14" s="1"/>
  <c r="I71" i="14" s="1"/>
  <c r="J71" i="14" s="1"/>
  <c r="F22" i="14"/>
  <c r="E132" i="1"/>
  <c r="E42" i="1"/>
  <c r="E41" i="1"/>
  <c r="H8" i="14"/>
  <c r="E6" i="1"/>
  <c r="G136" i="16" s="1"/>
  <c r="H136" i="16" s="1"/>
  <c r="I136" i="16" s="1"/>
  <c r="E17" i="1"/>
  <c r="D116" i="18"/>
  <c r="G100" i="18"/>
  <c r="G107" i="18" s="1"/>
  <c r="D46" i="18"/>
  <c r="E48" i="18" s="1"/>
  <c r="G56" i="18" s="1"/>
  <c r="H56" i="18" s="1"/>
  <c r="F155" i="16"/>
  <c r="F142" i="16"/>
  <c r="F103" i="16"/>
  <c r="F69" i="16"/>
  <c r="F114" i="16"/>
  <c r="K106" i="16"/>
  <c r="J106" i="16"/>
  <c r="I106" i="16"/>
  <c r="H106" i="16"/>
  <c r="G106" i="16"/>
  <c r="K98" i="16"/>
  <c r="J98" i="16"/>
  <c r="I98" i="16"/>
  <c r="H98" i="16"/>
  <c r="G98" i="16"/>
  <c r="D131" i="1"/>
  <c r="E84" i="1"/>
  <c r="E57" i="1"/>
  <c r="E25" i="1"/>
  <c r="E26" i="1"/>
  <c r="E27" i="1"/>
  <c r="E28" i="1"/>
  <c r="D135" i="1"/>
  <c r="D133" i="1"/>
  <c r="D134" i="1"/>
  <c r="D132" i="1"/>
  <c r="E71" i="1"/>
  <c r="E72" i="1"/>
  <c r="E73" i="1"/>
  <c r="E74" i="1"/>
  <c r="D90" i="1"/>
  <c r="F136" i="16"/>
  <c r="F94" i="14"/>
  <c r="D17" i="17" s="1"/>
  <c r="F152" i="14"/>
  <c r="E152" i="14"/>
  <c r="D152" i="14"/>
  <c r="D120" i="1"/>
  <c r="C33" i="14"/>
  <c r="C44" i="14" s="1"/>
  <c r="C34" i="14"/>
  <c r="C45" i="14" s="1"/>
  <c r="C35" i="14"/>
  <c r="C46" i="14" s="1"/>
  <c r="D25" i="14"/>
  <c r="F176" i="16"/>
  <c r="F182" i="16"/>
  <c r="F188" i="16" s="1"/>
  <c r="F194" i="16" s="1"/>
  <c r="F200" i="16" s="1"/>
  <c r="G176" i="16"/>
  <c r="G182" i="16" s="1"/>
  <c r="G188" i="16" s="1"/>
  <c r="G194" i="16" s="1"/>
  <c r="G200" i="16"/>
  <c r="H176" i="16"/>
  <c r="H182" i="16" s="1"/>
  <c r="H188" i="16" s="1"/>
  <c r="H194" i="16" s="1"/>
  <c r="H200" i="16" s="1"/>
  <c r="I176" i="16"/>
  <c r="I182" i="16"/>
  <c r="I188" i="16"/>
  <c r="I194" i="16" s="1"/>
  <c r="I200" i="16" s="1"/>
  <c r="J176" i="16"/>
  <c r="J182" i="16" s="1"/>
  <c r="J188" i="16" s="1"/>
  <c r="J194" i="16" s="1"/>
  <c r="J200" i="16" s="1"/>
  <c r="F4" i="17"/>
  <c r="G39" i="17" s="1"/>
  <c r="E24" i="1"/>
  <c r="E43" i="14"/>
  <c r="E44" i="14"/>
  <c r="E45" i="14"/>
  <c r="E46" i="14"/>
  <c r="E42" i="14"/>
  <c r="E40" i="1"/>
  <c r="E37" i="1"/>
  <c r="E38" i="1"/>
  <c r="E39" i="1"/>
  <c r="E56" i="1"/>
  <c r="D119" i="1"/>
  <c r="E131" i="1" s="1"/>
  <c r="E93" i="14"/>
  <c r="F93" i="14" s="1"/>
  <c r="D12" i="17" s="1"/>
  <c r="E69" i="1"/>
  <c r="E35" i="1"/>
  <c r="E36" i="1"/>
  <c r="E43" i="1"/>
  <c r="E45" i="1"/>
  <c r="E46" i="1"/>
  <c r="H7" i="15"/>
  <c r="F9" i="16"/>
  <c r="G9" i="16"/>
  <c r="D121" i="1"/>
  <c r="E133" i="1" s="1"/>
  <c r="B91" i="1"/>
  <c r="C31" i="14"/>
  <c r="C42" i="14" s="1"/>
  <c r="B92" i="1"/>
  <c r="C32" i="14" s="1"/>
  <c r="C43" i="14" s="1"/>
  <c r="E67" i="1"/>
  <c r="E68" i="1"/>
  <c r="E70" i="1"/>
  <c r="E54" i="1"/>
  <c r="E18" i="1"/>
  <c r="E19" i="1"/>
  <c r="E20" i="1"/>
  <c r="E21" i="1"/>
  <c r="E22" i="1"/>
  <c r="E23" i="1"/>
  <c r="D118" i="14"/>
  <c r="D124" i="1"/>
  <c r="E135" i="1" s="1"/>
  <c r="K35" i="18"/>
  <c r="J35" i="18"/>
  <c r="I35" i="18"/>
  <c r="H35" i="18"/>
  <c r="G35" i="18"/>
  <c r="K12" i="15"/>
  <c r="D122" i="1"/>
  <c r="E134" i="1" s="1"/>
  <c r="F138" i="14"/>
  <c r="F140" i="14"/>
  <c r="E118" i="14"/>
  <c r="E15" i="14"/>
  <c r="G112" i="14" s="1"/>
  <c r="H112" i="14" s="1"/>
  <c r="I112" i="14" s="1"/>
  <c r="G21" i="14"/>
  <c r="H21" i="14" s="1"/>
  <c r="I21" i="14" s="1"/>
  <c r="F137" i="14"/>
  <c r="F136" i="14"/>
  <c r="F135" i="14"/>
  <c r="L15" i="15"/>
  <c r="L16" i="15" s="1"/>
  <c r="L17" i="15"/>
  <c r="L18" i="15" s="1"/>
  <c r="C14" i="15"/>
  <c r="C15" i="15" s="1"/>
  <c r="C16" i="15" s="1"/>
  <c r="C17" i="15" s="1"/>
  <c r="C18" i="15" s="1"/>
  <c r="C19" i="15" s="1"/>
  <c r="C20" i="15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/>
  <c r="C42" i="15" s="1"/>
  <c r="C43" i="15" s="1"/>
  <c r="C44" i="15" s="1"/>
  <c r="C45" i="15" s="1"/>
  <c r="C46" i="15" s="1"/>
  <c r="C47" i="15" s="1"/>
  <c r="C48" i="15" s="1"/>
  <c r="C49" i="15" s="1"/>
  <c r="C50" i="15" s="1"/>
  <c r="C51" i="15" s="1"/>
  <c r="C52" i="15" s="1"/>
  <c r="C53" i="15" s="1"/>
  <c r="C54" i="15" s="1"/>
  <c r="C55" i="15" s="1"/>
  <c r="C56" i="15" s="1"/>
  <c r="C57" i="15" s="1"/>
  <c r="C58" i="15" s="1"/>
  <c r="C59" i="15" s="1"/>
  <c r="C60" i="15" s="1"/>
  <c r="C61" i="15" s="1"/>
  <c r="C62" i="15"/>
  <c r="C63" i="15" s="1"/>
  <c r="C64" i="15" s="1"/>
  <c r="C65" i="15" s="1"/>
  <c r="C66" i="15" s="1"/>
  <c r="C67" i="15" s="1"/>
  <c r="C68" i="15" s="1"/>
  <c r="C69" i="15" s="1"/>
  <c r="C70" i="15" s="1"/>
  <c r="C71" i="15" s="1"/>
  <c r="C72" i="15" s="1"/>
  <c r="C73" i="15" s="1"/>
  <c r="E66" i="1"/>
  <c r="E12" i="1"/>
  <c r="G137" i="16" s="1"/>
  <c r="H137" i="16" s="1"/>
  <c r="I137" i="16" s="1"/>
  <c r="J137" i="16" s="1"/>
  <c r="K137" i="16" s="1"/>
  <c r="E34" i="1"/>
  <c r="E52" i="1"/>
  <c r="E61" i="1" s="1"/>
  <c r="E53" i="1"/>
  <c r="E55" i="1"/>
  <c r="E58" i="1"/>
  <c r="E59" i="1"/>
  <c r="E60" i="1"/>
  <c r="E132" i="14"/>
  <c r="F132" i="14" s="1"/>
  <c r="F10" i="16"/>
  <c r="F30" i="16" s="1"/>
  <c r="F171" i="16"/>
  <c r="F183" i="16" s="1"/>
  <c r="F189" i="16" s="1"/>
  <c r="F195" i="16" s="1"/>
  <c r="F201" i="16" s="1"/>
  <c r="G171" i="16"/>
  <c r="H171" i="16"/>
  <c r="H183" i="16" s="1"/>
  <c r="H177" i="16"/>
  <c r="J171" i="16"/>
  <c r="J177" i="16" s="1"/>
  <c r="J183" i="16"/>
  <c r="J189" i="16" s="1"/>
  <c r="J195" i="16" s="1"/>
  <c r="J201" i="16" s="1"/>
  <c r="I171" i="16"/>
  <c r="F29" i="16"/>
  <c r="G69" i="16"/>
  <c r="F73" i="18"/>
  <c r="G6" i="18"/>
  <c r="H189" i="16"/>
  <c r="H195" i="16" s="1"/>
  <c r="H201" i="16" s="1"/>
  <c r="G22" i="14"/>
  <c r="H22" i="14" s="1"/>
  <c r="I22" i="14" s="1"/>
  <c r="J22" i="14" s="1"/>
  <c r="G115" i="14"/>
  <c r="H115" i="14" s="1"/>
  <c r="I115" i="14" s="1"/>
  <c r="J115" i="14" s="1"/>
  <c r="G150" i="14"/>
  <c r="H150" i="14" s="1"/>
  <c r="I150" i="14" s="1"/>
  <c r="J150" i="14" s="1"/>
  <c r="I183" i="16"/>
  <c r="I189" i="16"/>
  <c r="I195" i="16" s="1"/>
  <c r="I201" i="16" s="1"/>
  <c r="I177" i="16"/>
  <c r="G183" i="16"/>
  <c r="G189" i="16"/>
  <c r="G195" i="16" s="1"/>
  <c r="G201" i="16" s="1"/>
  <c r="G177" i="16"/>
  <c r="G116" i="14"/>
  <c r="H116" i="14" s="1"/>
  <c r="I116" i="14" s="1"/>
  <c r="J116" i="14" s="1"/>
  <c r="D95" i="1" l="1"/>
  <c r="J141" i="16" s="1"/>
  <c r="E29" i="1"/>
  <c r="F72" i="14"/>
  <c r="H72" i="14" s="1"/>
  <c r="I72" i="14" s="1"/>
  <c r="J72" i="14" s="1"/>
  <c r="F73" i="14"/>
  <c r="H73" i="14" s="1"/>
  <c r="I73" i="14" s="1"/>
  <c r="J73" i="14" s="1"/>
  <c r="F69" i="14"/>
  <c r="H69" i="14" s="1"/>
  <c r="I69" i="14" s="1"/>
  <c r="J69" i="14" s="1"/>
  <c r="F67" i="14"/>
  <c r="H67" i="14" s="1"/>
  <c r="I67" i="14" s="1"/>
  <c r="J67" i="14" s="1"/>
  <c r="F61" i="14"/>
  <c r="H61" i="14" s="1"/>
  <c r="I61" i="14" s="1"/>
  <c r="J61" i="14" s="1"/>
  <c r="G113" i="14"/>
  <c r="H113" i="14" s="1"/>
  <c r="I113" i="14" s="1"/>
  <c r="J113" i="14" s="1"/>
  <c r="G149" i="14"/>
  <c r="H149" i="14" s="1"/>
  <c r="I149" i="14" s="1"/>
  <c r="J149" i="14" s="1"/>
  <c r="F66" i="14"/>
  <c r="H66" i="14" s="1"/>
  <c r="I66" i="14" s="1"/>
  <c r="J66" i="14" s="1"/>
  <c r="G117" i="14"/>
  <c r="H117" i="14" s="1"/>
  <c r="I117" i="14" s="1"/>
  <c r="J117" i="14" s="1"/>
  <c r="F62" i="14"/>
  <c r="H62" i="14" s="1"/>
  <c r="I62" i="14" s="1"/>
  <c r="J62" i="14" s="1"/>
  <c r="G23" i="14"/>
  <c r="H23" i="14" s="1"/>
  <c r="I23" i="14" s="1"/>
  <c r="J23" i="14" s="1"/>
  <c r="G24" i="14"/>
  <c r="H24" i="14" s="1"/>
  <c r="I24" i="14" s="1"/>
  <c r="J24" i="14" s="1"/>
  <c r="F63" i="14"/>
  <c r="H63" i="14" s="1"/>
  <c r="I63" i="14" s="1"/>
  <c r="J63" i="14" s="1"/>
  <c r="F70" i="14"/>
  <c r="H70" i="14" s="1"/>
  <c r="I70" i="14" s="1"/>
  <c r="J70" i="14" s="1"/>
  <c r="G151" i="14"/>
  <c r="H151" i="14" s="1"/>
  <c r="I151" i="14" s="1"/>
  <c r="J151" i="14" s="1"/>
  <c r="F65" i="14"/>
  <c r="H65" i="14" s="1"/>
  <c r="I65" i="14" s="1"/>
  <c r="J65" i="14" s="1"/>
  <c r="F64" i="14"/>
  <c r="H64" i="14" s="1"/>
  <c r="I64" i="14" s="1"/>
  <c r="J64" i="14" s="1"/>
  <c r="F68" i="14"/>
  <c r="H68" i="14" s="1"/>
  <c r="I68" i="14" s="1"/>
  <c r="J68" i="14" s="1"/>
  <c r="G10" i="16"/>
  <c r="E92" i="14"/>
  <c r="F92" i="14" s="1"/>
  <c r="D29" i="17" s="1"/>
  <c r="F28" i="17" s="1"/>
  <c r="F37" i="16" s="1"/>
  <c r="E193" i="14"/>
  <c r="F96" i="16" s="1"/>
  <c r="F33" i="18" s="1"/>
  <c r="D112" i="1"/>
  <c r="F139" i="14" s="1"/>
  <c r="F144" i="16"/>
  <c r="F146" i="16" s="1"/>
  <c r="D93" i="1"/>
  <c r="H139" i="16" s="1"/>
  <c r="F31" i="16"/>
  <c r="F50" i="16" s="1"/>
  <c r="G112" i="16" s="1"/>
  <c r="E183" i="14"/>
  <c r="F183" i="14" s="1"/>
  <c r="G114" i="14"/>
  <c r="J21" i="14"/>
  <c r="J112" i="14"/>
  <c r="H148" i="14"/>
  <c r="G57" i="18"/>
  <c r="E134" i="14"/>
  <c r="F134" i="14" s="1"/>
  <c r="E133" i="14"/>
  <c r="F133" i="14" s="1"/>
  <c r="D91" i="1"/>
  <c r="F177" i="16"/>
  <c r="H9" i="16"/>
  <c r="G29" i="16"/>
  <c r="I144" i="16"/>
  <c r="F118" i="14"/>
  <c r="G155" i="16"/>
  <c r="F159" i="16"/>
  <c r="J136" i="16"/>
  <c r="G70" i="16"/>
  <c r="G30" i="16" l="1"/>
  <c r="D94" i="1"/>
  <c r="G140" i="16" s="1"/>
  <c r="H70" i="16"/>
  <c r="H72" i="16" s="1"/>
  <c r="G37" i="16"/>
  <c r="H79" i="16" s="1"/>
  <c r="H16" i="18" s="1"/>
  <c r="G118" i="14"/>
  <c r="J74" i="14"/>
  <c r="E103" i="14" s="1"/>
  <c r="F103" i="14" s="1"/>
  <c r="F27" i="17" s="1"/>
  <c r="F30" i="17" s="1"/>
  <c r="F38" i="17" s="1"/>
  <c r="G38" i="17" s="1"/>
  <c r="D117" i="18" s="1"/>
  <c r="G152" i="14"/>
  <c r="J25" i="14"/>
  <c r="F34" i="16" s="1"/>
  <c r="G34" i="16" s="1"/>
  <c r="H34" i="16" s="1"/>
  <c r="I34" i="16" s="1"/>
  <c r="J34" i="16" s="1"/>
  <c r="I25" i="14"/>
  <c r="E102" i="14" s="1"/>
  <c r="F102" i="14" s="1"/>
  <c r="H74" i="14"/>
  <c r="H114" i="14"/>
  <c r="H118" i="14" s="1"/>
  <c r="H10" i="16"/>
  <c r="D13" i="17"/>
  <c r="G86" i="16"/>
  <c r="E139" i="14"/>
  <c r="D92" i="1"/>
  <c r="H138" i="16" s="1"/>
  <c r="F141" i="16"/>
  <c r="H141" i="16"/>
  <c r="G141" i="16"/>
  <c r="K141" i="16"/>
  <c r="I141" i="16"/>
  <c r="E35" i="14"/>
  <c r="G35" i="14" s="1"/>
  <c r="H35" i="14" s="1"/>
  <c r="J35" i="14" s="1"/>
  <c r="F139" i="16"/>
  <c r="G139" i="16"/>
  <c r="J139" i="16"/>
  <c r="E33" i="14"/>
  <c r="G33" i="14" s="1"/>
  <c r="H33" i="14" s="1"/>
  <c r="J33" i="14" s="1"/>
  <c r="K139" i="16"/>
  <c r="I139" i="16"/>
  <c r="I74" i="14"/>
  <c r="G58" i="18"/>
  <c r="H57" i="18"/>
  <c r="G72" i="16"/>
  <c r="G7" i="18"/>
  <c r="G9" i="18" s="1"/>
  <c r="I148" i="14"/>
  <c r="H152" i="14"/>
  <c r="G79" i="16"/>
  <c r="G16" i="18" s="1"/>
  <c r="K136" i="16"/>
  <c r="J144" i="16"/>
  <c r="H6" i="18"/>
  <c r="H69" i="16"/>
  <c r="H155" i="16"/>
  <c r="H29" i="16"/>
  <c r="I9" i="16"/>
  <c r="F137" i="16"/>
  <c r="E31" i="14"/>
  <c r="I140" i="16" l="1"/>
  <c r="I75" i="16"/>
  <c r="I12" i="18" s="1"/>
  <c r="H30" i="16"/>
  <c r="K140" i="16"/>
  <c r="J140" i="16"/>
  <c r="E34" i="14"/>
  <c r="G34" i="14" s="1"/>
  <c r="H34" i="14" s="1"/>
  <c r="J34" i="14" s="1"/>
  <c r="F140" i="16"/>
  <c r="H140" i="16"/>
  <c r="H7" i="18"/>
  <c r="H9" i="18" s="1"/>
  <c r="G31" i="16"/>
  <c r="G50" i="16" s="1"/>
  <c r="H112" i="16" s="1"/>
  <c r="E32" i="14"/>
  <c r="G32" i="14" s="1"/>
  <c r="H32" i="14" s="1"/>
  <c r="J32" i="14" s="1"/>
  <c r="K138" i="16"/>
  <c r="G138" i="16"/>
  <c r="D96" i="1"/>
  <c r="E192" i="14" s="1"/>
  <c r="F95" i="16" s="1"/>
  <c r="H75" i="16"/>
  <c r="H12" i="18" s="1"/>
  <c r="H37" i="16"/>
  <c r="I79" i="16" s="1"/>
  <c r="I16" i="18" s="1"/>
  <c r="G75" i="16"/>
  <c r="G12" i="18" s="1"/>
  <c r="I10" i="16"/>
  <c r="G76" i="16"/>
  <c r="G13" i="18" s="1"/>
  <c r="I70" i="16"/>
  <c r="I114" i="14"/>
  <c r="I118" i="14" s="1"/>
  <c r="G145" i="16"/>
  <c r="H86" i="16"/>
  <c r="G23" i="18"/>
  <c r="F138" i="16"/>
  <c r="I138" i="16"/>
  <c r="J138" i="16"/>
  <c r="J9" i="16"/>
  <c r="J29" i="16" s="1"/>
  <c r="I29" i="16"/>
  <c r="I6" i="18"/>
  <c r="I69" i="16"/>
  <c r="I33" i="14"/>
  <c r="D53" i="14"/>
  <c r="F10" i="17"/>
  <c r="I155" i="16"/>
  <c r="G59" i="18"/>
  <c r="H58" i="18"/>
  <c r="D55" i="14"/>
  <c r="I35" i="14"/>
  <c r="I152" i="14"/>
  <c r="J148" i="14"/>
  <c r="J152" i="14" s="1"/>
  <c r="H76" i="16"/>
  <c r="G31" i="14"/>
  <c r="H31" i="14" s="1"/>
  <c r="K144" i="16"/>
  <c r="F125" i="14" l="1"/>
  <c r="F143" i="16"/>
  <c r="J10" i="16"/>
  <c r="J37" i="16" s="1"/>
  <c r="K79" i="16" s="1"/>
  <c r="K16" i="18" s="1"/>
  <c r="J75" i="16"/>
  <c r="J12" i="18" s="1"/>
  <c r="I30" i="16"/>
  <c r="J70" i="16" s="1"/>
  <c r="F85" i="14"/>
  <c r="D15" i="17" s="1"/>
  <c r="F86" i="14"/>
  <c r="E86" i="14" s="1"/>
  <c r="F126" i="14"/>
  <c r="E126" i="14" s="1"/>
  <c r="I37" i="16"/>
  <c r="J79" i="16" s="1"/>
  <c r="J16" i="18" s="1"/>
  <c r="H31" i="16"/>
  <c r="H50" i="16" s="1"/>
  <c r="I112" i="16" s="1"/>
  <c r="J114" i="14"/>
  <c r="J118" i="14" s="1"/>
  <c r="F42" i="16" s="1"/>
  <c r="G42" i="16" s="1"/>
  <c r="H42" i="16" s="1"/>
  <c r="I42" i="16" s="1"/>
  <c r="J42" i="16" s="1"/>
  <c r="H23" i="18"/>
  <c r="I86" i="16"/>
  <c r="H145" i="16"/>
  <c r="H146" i="16" s="1"/>
  <c r="G146" i="16"/>
  <c r="D52" i="14"/>
  <c r="I32" i="14"/>
  <c r="H36" i="14"/>
  <c r="J31" i="14"/>
  <c r="D54" i="14"/>
  <c r="I34" i="14"/>
  <c r="H13" i="18"/>
  <c r="F32" i="18"/>
  <c r="I72" i="16"/>
  <c r="I7" i="18"/>
  <c r="I9" i="18" s="1"/>
  <c r="F53" i="14"/>
  <c r="F129" i="14" s="1"/>
  <c r="E129" i="14" s="1"/>
  <c r="E53" i="14"/>
  <c r="F89" i="14" s="1"/>
  <c r="J6" i="18"/>
  <c r="J69" i="16"/>
  <c r="I76" i="16"/>
  <c r="E125" i="14"/>
  <c r="K6" i="18"/>
  <c r="K69" i="16"/>
  <c r="H59" i="18"/>
  <c r="G60" i="18"/>
  <c r="J155" i="16"/>
  <c r="F44" i="16"/>
  <c r="G44" i="16" s="1"/>
  <c r="H44" i="16" s="1"/>
  <c r="F160" i="14"/>
  <c r="E160" i="14" s="1"/>
  <c r="F55" i="14"/>
  <c r="F131" i="14" s="1"/>
  <c r="E131" i="14" s="1"/>
  <c r="E55" i="14"/>
  <c r="F91" i="14" s="1"/>
  <c r="E91" i="14" s="1"/>
  <c r="K75" i="16" l="1"/>
  <c r="J30" i="16"/>
  <c r="K70" i="16" s="1"/>
  <c r="E85" i="14"/>
  <c r="D16" i="17"/>
  <c r="I44" i="16"/>
  <c r="J44" i="16" s="1"/>
  <c r="I31" i="16"/>
  <c r="I50" i="16" s="1"/>
  <c r="J112" i="16" s="1"/>
  <c r="F159" i="14"/>
  <c r="E159" i="14" s="1"/>
  <c r="I23" i="18"/>
  <c r="J86" i="16"/>
  <c r="I145" i="16"/>
  <c r="G61" i="18"/>
  <c r="H61" i="18" s="1"/>
  <c r="H60" i="18"/>
  <c r="I13" i="18"/>
  <c r="E89" i="14"/>
  <c r="E54" i="14"/>
  <c r="F90" i="14" s="1"/>
  <c r="E90" i="14" s="1"/>
  <c r="F54" i="14"/>
  <c r="F130" i="14" s="1"/>
  <c r="E130" i="14" s="1"/>
  <c r="D51" i="14"/>
  <c r="I31" i="14"/>
  <c r="I36" i="14" s="1"/>
  <c r="J36" i="14"/>
  <c r="G88" i="16"/>
  <c r="G25" i="18" s="1"/>
  <c r="J7" i="18"/>
  <c r="J9" i="18" s="1"/>
  <c r="J72" i="16"/>
  <c r="K155" i="16"/>
  <c r="K12" i="18"/>
  <c r="J76" i="16"/>
  <c r="F52" i="14"/>
  <c r="F128" i="14" s="1"/>
  <c r="E128" i="14" s="1"/>
  <c r="E52" i="14"/>
  <c r="F88" i="14" s="1"/>
  <c r="E88" i="14" s="1"/>
  <c r="J31" i="16" l="1"/>
  <c r="J50" i="16" s="1"/>
  <c r="J23" i="18"/>
  <c r="K86" i="16"/>
  <c r="K23" i="18" s="1"/>
  <c r="I146" i="16"/>
  <c r="J145" i="16"/>
  <c r="K76" i="16"/>
  <c r="K112" i="16"/>
  <c r="H88" i="16"/>
  <c r="H25" i="18" s="1"/>
  <c r="E51" i="14"/>
  <c r="F87" i="14" s="1"/>
  <c r="F51" i="14"/>
  <c r="F127" i="14" s="1"/>
  <c r="K72" i="16"/>
  <c r="K7" i="18"/>
  <c r="K9" i="18" s="1"/>
  <c r="J13" i="18"/>
  <c r="K145" i="16" l="1"/>
  <c r="K146" i="16" s="1"/>
  <c r="J146" i="16"/>
  <c r="G87" i="16"/>
  <c r="E127" i="14"/>
  <c r="F141" i="14"/>
  <c r="K13" i="18"/>
  <c r="E87" i="14"/>
  <c r="E95" i="14" s="1"/>
  <c r="E104" i="14" s="1"/>
  <c r="F95" i="14"/>
  <c r="I88" i="16"/>
  <c r="I25" i="18" s="1"/>
  <c r="D14" i="17"/>
  <c r="F161" i="14" l="1"/>
  <c r="F43" i="16"/>
  <c r="E141" i="14"/>
  <c r="E184" i="14"/>
  <c r="G78" i="16"/>
  <c r="F11" i="17"/>
  <c r="F36" i="16" s="1"/>
  <c r="G36" i="16" s="1"/>
  <c r="J88" i="16"/>
  <c r="J25" i="18" s="1"/>
  <c r="K88" i="16"/>
  <c r="K25" i="18" s="1"/>
  <c r="F104" i="14"/>
  <c r="F105" i="14" s="1"/>
  <c r="E105" i="14"/>
  <c r="E180" i="14" s="1"/>
  <c r="F180" i="14" s="1"/>
  <c r="H87" i="16"/>
  <c r="G24" i="18"/>
  <c r="G43" i="16" l="1"/>
  <c r="H43" i="16" s="1"/>
  <c r="H36" i="16"/>
  <c r="I36" i="16" s="1"/>
  <c r="J36" i="16" s="1"/>
  <c r="G38" i="16"/>
  <c r="H24" i="18"/>
  <c r="I87" i="16"/>
  <c r="G142" i="16"/>
  <c r="H78" i="16"/>
  <c r="G15" i="18"/>
  <c r="G85" i="16"/>
  <c r="F45" i="16"/>
  <c r="F184" i="14"/>
  <c r="E161" i="14"/>
  <c r="E162" i="14" s="1"/>
  <c r="E181" i="14" s="1"/>
  <c r="F181" i="14" s="1"/>
  <c r="F162" i="14"/>
  <c r="F18" i="17" s="1"/>
  <c r="F20" i="17" s="1"/>
  <c r="H45" i="16" l="1"/>
  <c r="I43" i="16"/>
  <c r="J43" i="16" s="1"/>
  <c r="I78" i="16"/>
  <c r="H15" i="18"/>
  <c r="I24" i="18"/>
  <c r="J87" i="16"/>
  <c r="H85" i="16"/>
  <c r="G45" i="16"/>
  <c r="D115" i="18"/>
  <c r="D118" i="18" s="1"/>
  <c r="F37" i="17"/>
  <c r="H142" i="16"/>
  <c r="G143" i="16"/>
  <c r="G22" i="18"/>
  <c r="G77" i="16"/>
  <c r="F38" i="16"/>
  <c r="F40" i="16" s="1"/>
  <c r="I85" i="16" l="1"/>
  <c r="I142" i="16"/>
  <c r="H143" i="16"/>
  <c r="J24" i="18"/>
  <c r="K87" i="16"/>
  <c r="K24" i="18" s="1"/>
  <c r="H77" i="16"/>
  <c r="G40" i="16"/>
  <c r="G37" i="17"/>
  <c r="F40" i="17"/>
  <c r="G40" i="17" s="1"/>
  <c r="D17" i="16" s="1"/>
  <c r="D19" i="16" s="1"/>
  <c r="G14" i="18"/>
  <c r="G17" i="18" s="1"/>
  <c r="G19" i="18" s="1"/>
  <c r="G80" i="16"/>
  <c r="G82" i="16" s="1"/>
  <c r="H22" i="18"/>
  <c r="F48" i="16"/>
  <c r="F196" i="16"/>
  <c r="I15" i="18"/>
  <c r="J78" i="16"/>
  <c r="G48" i="16" l="1"/>
  <c r="G196" i="16"/>
  <c r="J142" i="16"/>
  <c r="I143" i="16"/>
  <c r="H14" i="18"/>
  <c r="H17" i="18" s="1"/>
  <c r="H19" i="18" s="1"/>
  <c r="H80" i="16"/>
  <c r="H82" i="16" s="1"/>
  <c r="I77" i="16"/>
  <c r="H38" i="16"/>
  <c r="H40" i="16" s="1"/>
  <c r="H48" i="16" s="1"/>
  <c r="I22" i="18"/>
  <c r="K78" i="16"/>
  <c r="K15" i="18" s="1"/>
  <c r="J15" i="18"/>
  <c r="J85" i="16"/>
  <c r="I45" i="16"/>
  <c r="H196" i="16" l="1"/>
  <c r="K142" i="16"/>
  <c r="K143" i="16" s="1"/>
  <c r="J143" i="16"/>
  <c r="K85" i="16"/>
  <c r="J45" i="16"/>
  <c r="J22" i="18"/>
  <c r="I14" i="18"/>
  <c r="I17" i="18" s="1"/>
  <c r="I19" i="18" s="1"/>
  <c r="I80" i="16"/>
  <c r="I82" i="16" s="1"/>
  <c r="J77" i="16"/>
  <c r="I38" i="16"/>
  <c r="I40" i="16" s="1"/>
  <c r="I196" i="16" l="1"/>
  <c r="I48" i="16"/>
  <c r="J14" i="18"/>
  <c r="J17" i="18" s="1"/>
  <c r="J19" i="18" s="1"/>
  <c r="J80" i="16"/>
  <c r="J82" i="16" s="1"/>
  <c r="K22" i="18"/>
  <c r="K77" i="16"/>
  <c r="J38" i="16"/>
  <c r="J40" i="16" s="1"/>
  <c r="J196" i="16" l="1"/>
  <c r="J48" i="16"/>
  <c r="K14" i="18"/>
  <c r="K17" i="18" s="1"/>
  <c r="K19" i="18" s="1"/>
  <c r="K80" i="16"/>
  <c r="K82" i="16" s="1"/>
  <c r="D63" i="15" l="1"/>
  <c r="D64" i="15" l="1"/>
  <c r="D65" i="15" l="1"/>
  <c r="D66" i="15" l="1"/>
  <c r="D67" i="15" l="1"/>
  <c r="D68" i="15" l="1"/>
  <c r="D69" i="15" l="1"/>
  <c r="D70" i="15" l="1"/>
  <c r="D71" i="15" l="1"/>
  <c r="D72" i="15" l="1"/>
  <c r="D73" i="15" l="1"/>
  <c r="G26" i="18"/>
  <c r="G27" i="18"/>
  <c r="G29" i="18" s="1"/>
  <c r="G37" i="18" s="1"/>
  <c r="F57" i="18" s="1"/>
  <c r="G90" i="16"/>
  <c r="G92" i="16" s="1"/>
  <c r="G100" i="16" s="1"/>
  <c r="F67" i="18" l="1"/>
  <c r="I57" i="18"/>
  <c r="F82" i="18" l="1"/>
  <c r="E100" i="18" l="1"/>
  <c r="G123" i="18"/>
  <c r="E182" i="14"/>
  <c r="E185" i="14" s="1"/>
  <c r="F182" i="14"/>
  <c r="F185" i="14" s="1"/>
  <c r="E194" i="14" s="1"/>
  <c r="F97" i="16" s="1"/>
  <c r="F98" i="16" l="1"/>
  <c r="F100" i="16" s="1"/>
  <c r="F34" i="18"/>
  <c r="F35" i="18" s="1"/>
  <c r="F37" i="18" s="1"/>
  <c r="F56" i="18" s="1"/>
  <c r="I56" i="18" s="1"/>
  <c r="G122" i="16"/>
  <c r="F133" i="16"/>
  <c r="F134" i="16" s="1"/>
  <c r="F147" i="16" s="1"/>
  <c r="E195" i="14"/>
  <c r="D202" i="14" l="1"/>
  <c r="E201" i="14"/>
  <c r="D200" i="14"/>
  <c r="F66" i="18"/>
  <c r="F81" i="18" s="1"/>
  <c r="G122" i="18" s="1"/>
  <c r="D99" i="18" l="1"/>
  <c r="F99" i="18"/>
  <c r="E202" i="14"/>
  <c r="F5" i="15"/>
  <c r="F104" i="16" l="1"/>
  <c r="F106" i="16" s="1"/>
  <c r="F116" i="16" s="1"/>
  <c r="F119" i="16" s="1"/>
  <c r="F121" i="16" s="1"/>
  <c r="F124" i="16" s="1"/>
  <c r="F8" i="15"/>
  <c r="D14" i="15" s="1"/>
  <c r="G13" i="15"/>
  <c r="F100" i="18"/>
  <c r="E14" i="15" l="1"/>
  <c r="F14" i="15" s="1"/>
  <c r="D15" i="15"/>
  <c r="D16" i="15" l="1"/>
  <c r="G14" i="15"/>
  <c r="E15" i="15" l="1"/>
  <c r="D17" i="15"/>
  <c r="D18" i="15" l="1"/>
  <c r="F15" i="15"/>
  <c r="D19" i="15" l="1"/>
  <c r="G15" i="15"/>
  <c r="E16" i="15" l="1"/>
  <c r="D20" i="15"/>
  <c r="D21" i="15" l="1"/>
  <c r="F16" i="15"/>
  <c r="G16" i="15" l="1"/>
  <c r="D22" i="15"/>
  <c r="D23" i="15" l="1"/>
  <c r="E17" i="15"/>
  <c r="D24" i="15" l="1"/>
  <c r="F17" i="15"/>
  <c r="G17" i="15" l="1"/>
  <c r="D25" i="15"/>
  <c r="D26" i="15" l="1"/>
  <c r="M14" i="15"/>
  <c r="E18" i="15"/>
  <c r="F18" i="15" s="1"/>
  <c r="G18" i="15" s="1"/>
  <c r="E19" i="15" l="1"/>
  <c r="F19" i="15" s="1"/>
  <c r="G19" i="15" s="1"/>
  <c r="D27" i="15"/>
  <c r="M15" i="15"/>
  <c r="E20" i="15" l="1"/>
  <c r="F20" i="15" s="1"/>
  <c r="G20" i="15" s="1"/>
  <c r="M16" i="15"/>
  <c r="D28" i="15"/>
  <c r="E21" i="15" l="1"/>
  <c r="F21" i="15" s="1"/>
  <c r="G21" i="15" s="1"/>
  <c r="M17" i="15"/>
  <c r="M19" i="15" s="1"/>
  <c r="D29" i="15"/>
  <c r="E22" i="15" l="1"/>
  <c r="F22" i="15" s="1"/>
  <c r="G22" i="15" s="1"/>
  <c r="D30" i="15"/>
  <c r="D31" i="15" l="1"/>
  <c r="E23" i="15"/>
  <c r="F23" i="15" s="1"/>
  <c r="G23" i="15" s="1"/>
  <c r="E24" i="15" l="1"/>
  <c r="F24" i="15" s="1"/>
  <c r="G24" i="15" s="1"/>
  <c r="D32" i="15"/>
  <c r="E25" i="15" l="1"/>
  <c r="D33" i="15"/>
  <c r="D34" i="15" l="1"/>
  <c r="N14" i="15"/>
  <c r="F25" i="15"/>
  <c r="G111" i="16" l="1"/>
  <c r="F49" i="16"/>
  <c r="F53" i="16" s="1"/>
  <c r="O14" i="15"/>
  <c r="G25" i="15"/>
  <c r="D35" i="15"/>
  <c r="P14" i="15" l="1"/>
  <c r="F152" i="16" s="1"/>
  <c r="E26" i="15"/>
  <c r="D36" i="15"/>
  <c r="F149" i="16"/>
  <c r="F151" i="16" s="1"/>
  <c r="G110" i="16"/>
  <c r="G114" i="16" s="1"/>
  <c r="G116" i="16" s="1"/>
  <c r="G119" i="16" s="1"/>
  <c r="G121" i="16" s="1"/>
  <c r="G124" i="16" s="1"/>
  <c r="F56" i="16"/>
  <c r="F153" i="16" l="1"/>
  <c r="F160" i="16" s="1"/>
  <c r="F163" i="16" s="1"/>
  <c r="D37" i="15"/>
  <c r="H122" i="16"/>
  <c r="G133" i="16"/>
  <c r="G134" i="16" s="1"/>
  <c r="F26" i="15"/>
  <c r="G26" i="15" s="1"/>
  <c r="H89" i="16"/>
  <c r="G150" i="16"/>
  <c r="F59" i="16"/>
  <c r="E27" i="15" l="1"/>
  <c r="H90" i="16"/>
  <c r="H92" i="16" s="1"/>
  <c r="H100" i="16" s="1"/>
  <c r="H26" i="18"/>
  <c r="H27" i="18" s="1"/>
  <c r="H29" i="18" s="1"/>
  <c r="H37" i="18" s="1"/>
  <c r="F58" i="18" s="1"/>
  <c r="D38" i="15"/>
  <c r="G147" i="16"/>
  <c r="F61" i="16"/>
  <c r="G158" i="16" s="1"/>
  <c r="F202" i="16"/>
  <c r="D39" i="15" l="1"/>
  <c r="I58" i="18"/>
  <c r="F68" i="18"/>
  <c r="F62" i="16"/>
  <c r="G157" i="16" s="1"/>
  <c r="F27" i="15"/>
  <c r="G27" i="15" s="1"/>
  <c r="F190" i="16"/>
  <c r="E28" i="15" l="1"/>
  <c r="F83" i="18"/>
  <c r="G124" i="18" s="1"/>
  <c r="G159" i="16"/>
  <c r="H156" i="16"/>
  <c r="D40" i="15"/>
  <c r="E101" i="18" l="1"/>
  <c r="F101" i="18" s="1"/>
  <c r="D41" i="15"/>
  <c r="F28" i="15"/>
  <c r="G28" i="15" s="1"/>
  <c r="E29" i="15" l="1"/>
  <c r="D42" i="15"/>
  <c r="D43" i="15" l="1"/>
  <c r="F29" i="15"/>
  <c r="G29" i="15" s="1"/>
  <c r="E30" i="15" l="1"/>
  <c r="D44" i="15"/>
  <c r="D45" i="15" l="1"/>
  <c r="F30" i="15"/>
  <c r="G30" i="15" s="1"/>
  <c r="D46" i="15" l="1"/>
  <c r="E31" i="15"/>
  <c r="F31" i="15" s="1"/>
  <c r="G31" i="15" s="1"/>
  <c r="D47" i="15" l="1"/>
  <c r="E32" i="15"/>
  <c r="F32" i="15" s="1"/>
  <c r="G32" i="15" s="1"/>
  <c r="E33" i="15" l="1"/>
  <c r="F33" i="15" s="1"/>
  <c r="G33" i="15" s="1"/>
  <c r="D48" i="15"/>
  <c r="E34" i="15" l="1"/>
  <c r="F34" i="15" s="1"/>
  <c r="G34" i="15" s="1"/>
  <c r="D49" i="15"/>
  <c r="D50" i="15" l="1"/>
  <c r="E35" i="15"/>
  <c r="F35" i="15" s="1"/>
  <c r="G35" i="15" s="1"/>
  <c r="D51" i="15" l="1"/>
  <c r="E36" i="15"/>
  <c r="F36" i="15" s="1"/>
  <c r="G36" i="15" s="1"/>
  <c r="E37" i="15" l="1"/>
  <c r="D52" i="15"/>
  <c r="D53" i="15" l="1"/>
  <c r="F37" i="15"/>
  <c r="G37" i="15" s="1"/>
  <c r="N15" i="15"/>
  <c r="G49" i="16" l="1"/>
  <c r="G53" i="16" s="1"/>
  <c r="H111" i="16"/>
  <c r="O15" i="15"/>
  <c r="P15" i="15"/>
  <c r="G152" i="16" s="1"/>
  <c r="E38" i="15"/>
  <c r="D54" i="15"/>
  <c r="D55" i="15" l="1"/>
  <c r="F38" i="15"/>
  <c r="G38" i="15" s="1"/>
  <c r="H110" i="16"/>
  <c r="H114" i="16" s="1"/>
  <c r="H116" i="16" s="1"/>
  <c r="H119" i="16" s="1"/>
  <c r="H121" i="16" s="1"/>
  <c r="H124" i="16" s="1"/>
  <c r="G149" i="16"/>
  <c r="G151" i="16" s="1"/>
  <c r="G56" i="16"/>
  <c r="G59" i="16" s="1"/>
  <c r="E39" i="15" l="1"/>
  <c r="G202" i="16"/>
  <c r="G61" i="16"/>
  <c r="H158" i="16" s="1"/>
  <c r="H133" i="16"/>
  <c r="H134" i="16" s="1"/>
  <c r="I122" i="16"/>
  <c r="D56" i="15"/>
  <c r="G153" i="16"/>
  <c r="F178" i="16"/>
  <c r="F172" i="16"/>
  <c r="H150" i="16"/>
  <c r="I89" i="16"/>
  <c r="G62" i="16" l="1"/>
  <c r="H157" i="16" s="1"/>
  <c r="I90" i="16"/>
  <c r="I92" i="16" s="1"/>
  <c r="I100" i="16" s="1"/>
  <c r="I26" i="18"/>
  <c r="I27" i="18" s="1"/>
  <c r="I29" i="18" s="1"/>
  <c r="I37" i="18" s="1"/>
  <c r="F59" i="18" s="1"/>
  <c r="F39" i="15"/>
  <c r="G39" i="15" s="1"/>
  <c r="H147" i="16"/>
  <c r="F184" i="16"/>
  <c r="G160" i="16"/>
  <c r="G163" i="16" s="1"/>
  <c r="D57" i="15"/>
  <c r="D58" i="15" l="1"/>
  <c r="E40" i="15"/>
  <c r="I59" i="18"/>
  <c r="F69" i="18"/>
  <c r="G190" i="16"/>
  <c r="I156" i="16"/>
  <c r="H159" i="16"/>
  <c r="F40" i="15" l="1"/>
  <c r="G40" i="15" s="1"/>
  <c r="F84" i="18"/>
  <c r="G125" i="18" s="1"/>
  <c r="D59" i="15"/>
  <c r="D60" i="15" l="1"/>
  <c r="E102" i="18"/>
  <c r="E41" i="15"/>
  <c r="F102" i="18" l="1"/>
  <c r="H99" i="18"/>
  <c r="H100" i="18" s="1"/>
  <c r="H107" i="18" s="1"/>
  <c r="F41" i="15"/>
  <c r="G41" i="15" s="1"/>
  <c r="D61" i="15"/>
  <c r="E42" i="15" l="1"/>
  <c r="F42" i="15" l="1"/>
  <c r="G42" i="15" s="1"/>
  <c r="E43" i="15" l="1"/>
  <c r="F43" i="15" s="1"/>
  <c r="G43" i="15" s="1"/>
  <c r="E44" i="15" l="1"/>
  <c r="F44" i="15" s="1"/>
  <c r="G44" i="15" s="1"/>
  <c r="E45" i="15" l="1"/>
  <c r="F45" i="15" s="1"/>
  <c r="G45" i="15" s="1"/>
  <c r="E46" i="15" l="1"/>
  <c r="F46" i="15" s="1"/>
  <c r="G46" i="15" s="1"/>
  <c r="E47" i="15" l="1"/>
  <c r="F47" i="15" s="1"/>
  <c r="G47" i="15" s="1"/>
  <c r="E48" i="15" l="1"/>
  <c r="F48" i="15" s="1"/>
  <c r="G48" i="15" s="1"/>
  <c r="E49" i="15" l="1"/>
  <c r="F49" i="15" l="1"/>
  <c r="G49" i="15" s="1"/>
  <c r="N16" i="15"/>
  <c r="H49" i="16" l="1"/>
  <c r="H53" i="16" s="1"/>
  <c r="I111" i="16"/>
  <c r="O16" i="15"/>
  <c r="P16" i="15"/>
  <c r="H152" i="16" s="1"/>
  <c r="E50" i="15"/>
  <c r="H149" i="16" l="1"/>
  <c r="H151" i="16" s="1"/>
  <c r="I110" i="16"/>
  <c r="I114" i="16" s="1"/>
  <c r="I116" i="16" s="1"/>
  <c r="I119" i="16" s="1"/>
  <c r="I121" i="16" s="1"/>
  <c r="I124" i="16" s="1"/>
  <c r="F50" i="15"/>
  <c r="G50" i="15" s="1"/>
  <c r="H56" i="16"/>
  <c r="E51" i="15" l="1"/>
  <c r="J122" i="16"/>
  <c r="I133" i="16"/>
  <c r="I134" i="16" s="1"/>
  <c r="J89" i="16"/>
  <c r="I150" i="16"/>
  <c r="H59" i="16"/>
  <c r="H153" i="16"/>
  <c r="G178" i="16"/>
  <c r="G172" i="16"/>
  <c r="H61" i="16" l="1"/>
  <c r="I158" i="16" s="1"/>
  <c r="H202" i="16"/>
  <c r="I147" i="16"/>
  <c r="F51" i="15"/>
  <c r="G51" i="15" s="1"/>
  <c r="H160" i="16"/>
  <c r="H163" i="16" s="1"/>
  <c r="G184" i="16"/>
  <c r="J26" i="18"/>
  <c r="J27" i="18" s="1"/>
  <c r="J29" i="18" s="1"/>
  <c r="J37" i="18" s="1"/>
  <c r="F60" i="18" s="1"/>
  <c r="J90" i="16"/>
  <c r="J92" i="16" s="1"/>
  <c r="J100" i="16" s="1"/>
  <c r="H62" i="16" l="1"/>
  <c r="I157" i="16" s="1"/>
  <c r="J156" i="16" s="1"/>
  <c r="I60" i="18"/>
  <c r="F70" i="18"/>
  <c r="E52" i="15"/>
  <c r="H190" i="16"/>
  <c r="I159" i="16" l="1"/>
  <c r="F52" i="15"/>
  <c r="G52" i="15" s="1"/>
  <c r="F85" i="18"/>
  <c r="G126" i="18" s="1"/>
  <c r="E103" i="18" l="1"/>
  <c r="F103" i="18" s="1"/>
  <c r="E53" i="15"/>
  <c r="F53" i="15" l="1"/>
  <c r="G53" i="15" s="1"/>
  <c r="E54" i="15" l="1"/>
  <c r="F54" i="15" l="1"/>
  <c r="G54" i="15" s="1"/>
  <c r="E55" i="15" l="1"/>
  <c r="F55" i="15" s="1"/>
  <c r="G55" i="15" s="1"/>
  <c r="E56" i="15" l="1"/>
  <c r="F56" i="15" s="1"/>
  <c r="G56" i="15" s="1"/>
  <c r="E57" i="15" l="1"/>
  <c r="F57" i="15" s="1"/>
  <c r="G57" i="15" s="1"/>
  <c r="E58" i="15" l="1"/>
  <c r="F58" i="15" s="1"/>
  <c r="G58" i="15" s="1"/>
  <c r="E59" i="15" l="1"/>
  <c r="F59" i="15" s="1"/>
  <c r="G59" i="15" s="1"/>
  <c r="E60" i="15" l="1"/>
  <c r="F60" i="15" s="1"/>
  <c r="G60" i="15" s="1"/>
  <c r="E61" i="15" l="1"/>
  <c r="F61" i="15" l="1"/>
  <c r="G61" i="15" s="1"/>
  <c r="N17" i="15"/>
  <c r="I49" i="16" l="1"/>
  <c r="I53" i="16" s="1"/>
  <c r="J111" i="16"/>
  <c r="O17" i="15"/>
  <c r="P17" i="15"/>
  <c r="I152" i="16" s="1"/>
  <c r="E62" i="15"/>
  <c r="F62" i="15" l="1"/>
  <c r="G62" i="15" s="1"/>
  <c r="I149" i="16"/>
  <c r="I151" i="16" s="1"/>
  <c r="J110" i="16"/>
  <c r="J114" i="16" s="1"/>
  <c r="J116" i="16" s="1"/>
  <c r="J119" i="16" s="1"/>
  <c r="J121" i="16" s="1"/>
  <c r="J124" i="16" s="1"/>
  <c r="I56" i="16"/>
  <c r="K89" i="16" l="1"/>
  <c r="J150" i="16"/>
  <c r="I59" i="16"/>
  <c r="I153" i="16"/>
  <c r="H178" i="16"/>
  <c r="H172" i="16"/>
  <c r="J133" i="16"/>
  <c r="J134" i="16" s="1"/>
  <c r="K122" i="16"/>
  <c r="E63" i="15"/>
  <c r="J147" i="16" l="1"/>
  <c r="I160" i="16"/>
  <c r="I163" i="16" s="1"/>
  <c r="H184" i="16"/>
  <c r="I61" i="16"/>
  <c r="J158" i="16" s="1"/>
  <c r="I202" i="16"/>
  <c r="F63" i="15"/>
  <c r="G63" i="15" s="1"/>
  <c r="K90" i="16"/>
  <c r="K92" i="16" s="1"/>
  <c r="K100" i="16" s="1"/>
  <c r="K26" i="18"/>
  <c r="K27" i="18" s="1"/>
  <c r="K29" i="18" s="1"/>
  <c r="K37" i="18" s="1"/>
  <c r="F61" i="18" s="1"/>
  <c r="I61" i="18" l="1"/>
  <c r="I62" i="18" s="1"/>
  <c r="F71" i="18"/>
  <c r="I62" i="16"/>
  <c r="J157" i="16" s="1"/>
  <c r="I190" i="16"/>
  <c r="E64" i="15"/>
  <c r="F64" i="15" l="1"/>
  <c r="G64" i="15" s="1"/>
  <c r="F86" i="18"/>
  <c r="G127" i="18" s="1"/>
  <c r="G134" i="18" s="1"/>
  <c r="F75" i="18"/>
  <c r="K156" i="16"/>
  <c r="J159" i="16"/>
  <c r="E104" i="18" l="1"/>
  <c r="F104" i="18" s="1"/>
  <c r="F88" i="18"/>
  <c r="G128" i="18" s="1"/>
  <c r="E65" i="15"/>
  <c r="F65" i="15" l="1"/>
  <c r="G65" i="15" s="1"/>
  <c r="E66" i="15" l="1"/>
  <c r="F66" i="15" l="1"/>
  <c r="G66" i="15" s="1"/>
  <c r="E67" i="15" l="1"/>
  <c r="F67" i="15" s="1"/>
  <c r="G67" i="15" s="1"/>
  <c r="E68" i="15" l="1"/>
  <c r="F68" i="15" s="1"/>
  <c r="G68" i="15" s="1"/>
  <c r="E69" i="15" l="1"/>
  <c r="F69" i="15" s="1"/>
  <c r="G69" i="15" s="1"/>
  <c r="E70" i="15" l="1"/>
  <c r="F70" i="15" s="1"/>
  <c r="G70" i="15" s="1"/>
  <c r="E71" i="15" l="1"/>
  <c r="F71" i="15" s="1"/>
  <c r="G71" i="15" s="1"/>
  <c r="E72" i="15" l="1"/>
  <c r="F72" i="15" s="1"/>
  <c r="G72" i="15" s="1"/>
  <c r="E73" i="15" l="1"/>
  <c r="F73" i="15" l="1"/>
  <c r="G73" i="15" s="1"/>
  <c r="P18" i="15" s="1"/>
  <c r="N18" i="15"/>
  <c r="K111" i="16" l="1"/>
  <c r="J49" i="16"/>
  <c r="J53" i="16" s="1"/>
  <c r="O18" i="15"/>
  <c r="N19" i="15"/>
  <c r="K152" i="16"/>
  <c r="J152" i="16"/>
  <c r="K149" i="16"/>
  <c r="J56" i="16" l="1"/>
  <c r="K150" i="16" s="1"/>
  <c r="K151" i="16" s="1"/>
  <c r="K153" i="16" s="1"/>
  <c r="K110" i="16"/>
  <c r="K114" i="16" s="1"/>
  <c r="K116" i="16" s="1"/>
  <c r="K119" i="16" s="1"/>
  <c r="K121" i="16" s="1"/>
  <c r="K124" i="16" s="1"/>
  <c r="K133" i="16" s="1"/>
  <c r="K134" i="16" s="1"/>
  <c r="J149" i="16"/>
  <c r="J151" i="16" s="1"/>
  <c r="O19" i="15"/>
  <c r="J153" i="16" l="1"/>
  <c r="I178" i="16"/>
  <c r="I172" i="16"/>
  <c r="K147" i="16"/>
  <c r="J184" i="16" s="1"/>
  <c r="J178" i="16"/>
  <c r="J172" i="16"/>
  <c r="J59" i="16"/>
  <c r="J190" i="16" l="1"/>
  <c r="J202" i="16"/>
  <c r="J61" i="16"/>
  <c r="K158" i="16" s="1"/>
  <c r="I184" i="16"/>
  <c r="J160" i="16"/>
  <c r="J163" i="16" s="1"/>
  <c r="J62" i="16" l="1"/>
  <c r="K157" i="16" s="1"/>
  <c r="K159" i="16" s="1"/>
  <c r="K160" i="16" s="1"/>
  <c r="K16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UIS</author>
  </authors>
  <commentList>
    <comment ref="D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Valor unitario IVA incluido</t>
        </r>
      </text>
    </comment>
    <comment ref="D3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Valor unitario IVA incluido</t>
        </r>
      </text>
    </comment>
    <comment ref="D5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Valor unitario IVA incluido</t>
        </r>
      </text>
    </comment>
    <comment ref="D6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Valor unitario IVA incluido</t>
        </r>
      </text>
    </comment>
    <comment ref="C11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Porcentajes entre 0 y 100%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UIS</author>
  </authors>
  <commentList>
    <comment ref="D1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Número de trabajadores</t>
        </r>
      </text>
    </comment>
    <comment ref="E1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El valor del salario por cada trabajador</t>
        </r>
      </text>
    </comment>
    <comment ref="F19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Solo para los trabajadores que ganen menos de dos salarios mínimos.</t>
        </r>
      </text>
    </comment>
    <comment ref="D40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Porcentajes entre 0 y 100%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UIS</author>
  </authors>
  <commentList>
    <comment ref="F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Número de meses por los que se va a solicitar el crédito</t>
        </r>
      </text>
    </comment>
    <comment ref="F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UIS:</t>
        </r>
        <r>
          <rPr>
            <sz val="9"/>
            <color indexed="81"/>
            <rFont val="Tahoma"/>
            <family val="2"/>
          </rPr>
          <t xml:space="preserve">
Consultar la tasa actual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VIE</author>
  </authors>
  <commentList>
    <comment ref="C65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VIE:</t>
        </r>
        <r>
          <rPr>
            <sz val="9"/>
            <color indexed="81"/>
            <rFont val="Tahoma"/>
            <family val="2"/>
          </rPr>
          <t xml:space="preserve">
Se puede utilizar cualquiera de las dos formas de cálculo de VPN</t>
        </r>
      </text>
    </comment>
  </commentList>
</comments>
</file>

<file path=xl/sharedStrings.xml><?xml version="1.0" encoding="utf-8"?>
<sst xmlns="http://schemas.openxmlformats.org/spreadsheetml/2006/main" count="761" uniqueCount="409">
  <si>
    <t>CONCEPTO</t>
  </si>
  <si>
    <t>CANTIDAD</t>
  </si>
  <si>
    <t>TOTAL</t>
  </si>
  <si>
    <t>Muebles y enseres</t>
  </si>
  <si>
    <t>DESCRIPCIÓN</t>
  </si>
  <si>
    <t>Registro de libros y documentos</t>
  </si>
  <si>
    <t xml:space="preserve">Inversión Diferida </t>
  </si>
  <si>
    <t>Energía</t>
  </si>
  <si>
    <t>Gastos Financieros</t>
  </si>
  <si>
    <t>año 3</t>
  </si>
  <si>
    <t>Equipos de oficina</t>
  </si>
  <si>
    <t>Papelería</t>
  </si>
  <si>
    <t>Año</t>
  </si>
  <si>
    <t>Año 1</t>
  </si>
  <si>
    <t>Año 2</t>
  </si>
  <si>
    <t>Año 4</t>
  </si>
  <si>
    <t>Año 5</t>
  </si>
  <si>
    <t>Imprevistos</t>
  </si>
  <si>
    <t xml:space="preserve">VALOR UNITARIO </t>
  </si>
  <si>
    <t>VALOR TOTAL</t>
  </si>
  <si>
    <t>VALOR UNITARIO</t>
  </si>
  <si>
    <t xml:space="preserve">VALOR TOTAL </t>
  </si>
  <si>
    <t>COSTO</t>
  </si>
  <si>
    <t>Maquinaria y Equipos</t>
  </si>
  <si>
    <t>Cuadro</t>
  </si>
  <si>
    <t>Herramientas</t>
  </si>
  <si>
    <t>VALOR</t>
  </si>
  <si>
    <t>Inversión Fija</t>
  </si>
  <si>
    <t>Escritura de Constitución</t>
  </si>
  <si>
    <t>Estudio de Factibilidad</t>
  </si>
  <si>
    <t>Cesantías</t>
  </si>
  <si>
    <t>Interés cesantías</t>
  </si>
  <si>
    <t>Vacaciones</t>
  </si>
  <si>
    <t>Prima</t>
  </si>
  <si>
    <t>Parafiscales</t>
  </si>
  <si>
    <t>Salud y pensión</t>
  </si>
  <si>
    <t xml:space="preserve">Dotación </t>
  </si>
  <si>
    <t>Riesgos profesionales</t>
  </si>
  <si>
    <t>Factor prestacional</t>
  </si>
  <si>
    <t xml:space="preserve">Cuadro </t>
  </si>
  <si>
    <t>TOTAL FACTOR PRESTACIONAL</t>
  </si>
  <si>
    <t>FACTOR</t>
  </si>
  <si>
    <t>Mano de Obra Directa</t>
  </si>
  <si>
    <t>Básico</t>
  </si>
  <si>
    <t>ÍTEM</t>
  </si>
  <si>
    <t>SALARIO BÁSICO</t>
  </si>
  <si>
    <t>SUBSIDIO DE TRANSPORTE</t>
  </si>
  <si>
    <t>ASIGNACIÓN MENSUAL</t>
  </si>
  <si>
    <t>UNITARIO</t>
  </si>
  <si>
    <t>TOTAL ANUAL</t>
  </si>
  <si>
    <t>FACTOR PRESTACIONAL</t>
  </si>
  <si>
    <t>Depreciaciones</t>
  </si>
  <si>
    <t>TIEMPO A DEPRECIAR</t>
  </si>
  <si>
    <t>VALOR DE SALVAMENTO</t>
  </si>
  <si>
    <t>DEPRECIACIÓN ANUAL</t>
  </si>
  <si>
    <t>DEPRECIACIÓN MENSUAL</t>
  </si>
  <si>
    <t>VALOR A DEPRECIAR</t>
  </si>
  <si>
    <t>Materia Prima</t>
  </si>
  <si>
    <t>VALOR A PRESTAR</t>
  </si>
  <si>
    <t>TIEMPO</t>
  </si>
  <si>
    <t>TASA MENSUAL</t>
  </si>
  <si>
    <t>Meses</t>
  </si>
  <si>
    <t>Mensual</t>
  </si>
  <si>
    <t>CUOTA</t>
  </si>
  <si>
    <t>VALOR PAGO</t>
  </si>
  <si>
    <t>PAGO</t>
  </si>
  <si>
    <t>INTERESES</t>
  </si>
  <si>
    <t>ABONO A CAPITAL</t>
  </si>
  <si>
    <t>SALDO</t>
  </si>
  <si>
    <t>AÑO</t>
  </si>
  <si>
    <t>PAGOS</t>
  </si>
  <si>
    <t>Mantenimiento</t>
  </si>
  <si>
    <t>Seguros</t>
  </si>
  <si>
    <t>Servicios</t>
  </si>
  <si>
    <t>VALOR MENSUAL</t>
  </si>
  <si>
    <t>VALOR ANUAL</t>
  </si>
  <si>
    <t>Gastos de Administración</t>
  </si>
  <si>
    <t>Arriendos</t>
  </si>
  <si>
    <t>Gasto de Personal Administrativo</t>
  </si>
  <si>
    <t>Gasto de Personal Ventas</t>
  </si>
  <si>
    <t>MATERIALES</t>
  </si>
  <si>
    <t>UNIDAD</t>
  </si>
  <si>
    <t>COSTO POR UNIDAD</t>
  </si>
  <si>
    <t>Contratación Externa (Servicios Contables)</t>
  </si>
  <si>
    <t>Terrenos</t>
  </si>
  <si>
    <t>Amortización de Direridos</t>
  </si>
  <si>
    <t>Mano de Obra Directa MOD</t>
  </si>
  <si>
    <t>COSTO MENSUAL</t>
  </si>
  <si>
    <t>Mes</t>
  </si>
  <si>
    <t>Margen de Utilidad</t>
  </si>
  <si>
    <t>Precio de Venta</t>
  </si>
  <si>
    <t>Gastos de Personal</t>
  </si>
  <si>
    <t>Gastos de Personal de Ventas</t>
  </si>
  <si>
    <t>Arrendamiento</t>
  </si>
  <si>
    <t>Gas</t>
  </si>
  <si>
    <t>SERVICIOS PÚBLICOS Y ARRENDAMIENTOS</t>
  </si>
  <si>
    <t>PORCENTAJES DE PRORRATEO</t>
  </si>
  <si>
    <t>OPERATIVO</t>
  </si>
  <si>
    <t>ADMINISTRATIVO</t>
  </si>
  <si>
    <t>Prorrateo de Costos y Gastos</t>
  </si>
  <si>
    <t>GASTOS FINANCIEROS</t>
  </si>
  <si>
    <t>VALOR MES</t>
  </si>
  <si>
    <t>Capital de Trabajo</t>
  </si>
  <si>
    <t>Gastos de Administración y Ventas</t>
  </si>
  <si>
    <t>Amortización De Crédito</t>
  </si>
  <si>
    <t>Resumen del Crédito</t>
  </si>
  <si>
    <t>Se debe explicar para cuantos meses necesita recursos</t>
  </si>
  <si>
    <t>Monto de Intereses mes 1</t>
  </si>
  <si>
    <t>Monto de intereses mes 2</t>
  </si>
  <si>
    <t>monto de intereses mes 3</t>
  </si>
  <si>
    <t>VALOR A NECESITAR</t>
  </si>
  <si>
    <t>CAPITAL DE TRABAJO</t>
  </si>
  <si>
    <t>Inversión Total</t>
  </si>
  <si>
    <t>INVERSIÓN TOTAL</t>
  </si>
  <si>
    <t xml:space="preserve">VALOR </t>
  </si>
  <si>
    <t>Inversión Diferida</t>
  </si>
  <si>
    <t>COSTOS FIJOS</t>
  </si>
  <si>
    <t xml:space="preserve">    Arriendo</t>
  </si>
  <si>
    <t xml:space="preserve">    Servicios</t>
  </si>
  <si>
    <t xml:space="preserve">    Otros</t>
  </si>
  <si>
    <t xml:space="preserve">    Depreciación</t>
  </si>
  <si>
    <t xml:space="preserve">    Mantenimiento</t>
  </si>
  <si>
    <t xml:space="preserve">    Seguros</t>
  </si>
  <si>
    <t>Costos Totales Unitarios</t>
  </si>
  <si>
    <t>Total Anual de Costos Fijos</t>
  </si>
  <si>
    <t>Total Anual de Costos Variables</t>
  </si>
  <si>
    <t>Estado de Resultados Proyectado</t>
  </si>
  <si>
    <t>TOTAL INGRESOS</t>
  </si>
  <si>
    <t>UTILIDAD BRUTA</t>
  </si>
  <si>
    <t>GASTOS DE ADMINISTRACIÓN Y VENTAS</t>
  </si>
  <si>
    <t>UTILIDAD ANTES DE IMPUESTO</t>
  </si>
  <si>
    <t>Provisión para Impuestos</t>
  </si>
  <si>
    <t>UTILIDAD NETA</t>
  </si>
  <si>
    <t>Flujo de Caja Proyectado</t>
  </si>
  <si>
    <t>Ingresos operacionales</t>
  </si>
  <si>
    <t>Recuperación de Cartera</t>
  </si>
  <si>
    <t>Total de Ingresos Operacionales</t>
  </si>
  <si>
    <t>Pagos de Costos</t>
  </si>
  <si>
    <t>Pago de Materia Prima</t>
  </si>
  <si>
    <t>Pago Costos Indirectos Fijos</t>
  </si>
  <si>
    <t>Pago Costos Indirectos Variables</t>
  </si>
  <si>
    <t>Pago de Mano de Obra Directa</t>
  </si>
  <si>
    <t>FLUJO DE CAJA OPERACIONAL BRUTO</t>
  </si>
  <si>
    <t>Pago de Gastos de Administración</t>
  </si>
  <si>
    <t>Pagos de Gastos</t>
  </si>
  <si>
    <t>Amortizaciones</t>
  </si>
  <si>
    <t>Pago de Gastos de Ventas</t>
  </si>
  <si>
    <t>Total Pago de Gastos Operacionales</t>
  </si>
  <si>
    <t>Total Pagos de Costos Operacionales</t>
  </si>
  <si>
    <t>FLUJO DE CAJA OPERACIONAL NETO</t>
  </si>
  <si>
    <t>Inversiones</t>
  </si>
  <si>
    <t>Inversión en Capital de Trabajo</t>
  </si>
  <si>
    <t>Total de Inversiones</t>
  </si>
  <si>
    <t>Pago de Impuestos</t>
  </si>
  <si>
    <t>Gravamen del 4 x 1.000</t>
  </si>
  <si>
    <t>FLUJO DE CAJA LIBRE</t>
  </si>
  <si>
    <t>Aportes de los socios</t>
  </si>
  <si>
    <t>Crédito a solicitar</t>
  </si>
  <si>
    <t>Caja y Bancos</t>
  </si>
  <si>
    <t>Total Activo Corriente</t>
  </si>
  <si>
    <t>Construcciones</t>
  </si>
  <si>
    <t>Maquinaria y Equipo</t>
  </si>
  <si>
    <t>Muebles y Enseres</t>
  </si>
  <si>
    <t>Depreciación Acumulada</t>
  </si>
  <si>
    <t>Total Activo Fijo Neto</t>
  </si>
  <si>
    <t>Activo Diferido Neto</t>
  </si>
  <si>
    <t>Equipos de Oficina</t>
  </si>
  <si>
    <t>Balance General Proyectado</t>
  </si>
  <si>
    <t>Obligaciones Financieras</t>
  </si>
  <si>
    <t>Impuestos por pagar</t>
  </si>
  <si>
    <t>Total Pasivo Corriente</t>
  </si>
  <si>
    <t>Obligaciones de Largo Plazo</t>
  </si>
  <si>
    <t>PASIVO TOTAL</t>
  </si>
  <si>
    <t>Aportes Sociales</t>
  </si>
  <si>
    <t>Utilidades Ejercicios Anteriores</t>
  </si>
  <si>
    <t>Utilidades del Presente Ejercicio</t>
  </si>
  <si>
    <t xml:space="preserve">RESERVAS </t>
  </si>
  <si>
    <t>PATRIMONIO TOTAL</t>
  </si>
  <si>
    <t>TOTAL PASIVO + PATRIMONIO</t>
  </si>
  <si>
    <t>Flujo de Caja Libre</t>
  </si>
  <si>
    <t>Año 0</t>
  </si>
  <si>
    <t>FLUJO ESPERADO</t>
  </si>
  <si>
    <t>Forma de Cálculo 1</t>
  </si>
  <si>
    <t>Forma de Cálculo 2</t>
  </si>
  <si>
    <t>TASA DE DESCUENTO</t>
  </si>
  <si>
    <t>TASA</t>
  </si>
  <si>
    <t>VPN</t>
  </si>
  <si>
    <t>FACTOR DE DESCUENTO</t>
  </si>
  <si>
    <t>TIR</t>
  </si>
  <si>
    <t>Efectivo Anual</t>
  </si>
  <si>
    <t>VALOR ACTUAL</t>
  </si>
  <si>
    <t>Cálculo de la Tasa Interna de Retorno TIR</t>
  </si>
  <si>
    <t>Cálculo del Valor Presente Neto VPN</t>
  </si>
  <si>
    <t>Publicidad Lanzamiento</t>
  </si>
  <si>
    <t>Equipo de oficina</t>
  </si>
  <si>
    <t>Maquinaria y equipo</t>
  </si>
  <si>
    <t>Publicidad de operación</t>
  </si>
  <si>
    <t>Costos Fijos</t>
  </si>
  <si>
    <t xml:space="preserve">Costos Variabes </t>
  </si>
  <si>
    <t xml:space="preserve">Costos Totales Unitarios </t>
  </si>
  <si>
    <t>Proyección de Unidades a Vender</t>
  </si>
  <si>
    <t>Socios</t>
  </si>
  <si>
    <t>Deuda</t>
  </si>
  <si>
    <t>Construcciones y Edificaciones</t>
  </si>
  <si>
    <t>Sofware contable</t>
  </si>
  <si>
    <t>Teléfono, Internet Banda ancha y Televisión</t>
  </si>
  <si>
    <t>Varios de Construcción (licencia, Registros y Escritura)</t>
  </si>
  <si>
    <t>Legalizaciòn Construcciòn (Regitro)</t>
  </si>
  <si>
    <t>DEPRECIACIÒN</t>
  </si>
  <si>
    <t>Kilo</t>
  </si>
  <si>
    <t>VALOR UNIDAD DE INSUMO</t>
  </si>
  <si>
    <t>COSTO ANUAL</t>
  </si>
  <si>
    <t>Total Gastos de Administración y Ventas</t>
  </si>
  <si>
    <t>RAZÓN CORRIENTE</t>
  </si>
  <si>
    <t>NIVEL DE ENDEUDAMIENTO</t>
  </si>
  <si>
    <t>ROTACIÓN DE ACTIVOS</t>
  </si>
  <si>
    <t>MARGEN BRUTO DE GANANCIA</t>
  </si>
  <si>
    <t xml:space="preserve">SERVICIOS PÚBLICOS </t>
  </si>
  <si>
    <t>Costos Indirectos de P. S Variables</t>
  </si>
  <si>
    <t>Costos Indirectos de P. S Fijos</t>
  </si>
  <si>
    <t>COSTOS DE PRESTACION SERVICIO</t>
  </si>
  <si>
    <t>Teléfono</t>
  </si>
  <si>
    <t>Herraminentas</t>
  </si>
  <si>
    <t>Herramientas (o utensilios De valor considerable)</t>
  </si>
  <si>
    <t>Valor Amortización Anual (Por cinco años)</t>
  </si>
  <si>
    <t>Cuadro 2</t>
  </si>
  <si>
    <t>Cuadro 3</t>
  </si>
  <si>
    <t>Cuadro 4</t>
  </si>
  <si>
    <t>Cuadro 5</t>
  </si>
  <si>
    <t>Depreciaciòn Construcciones</t>
  </si>
  <si>
    <t>CONSUMO POR  unidad</t>
  </si>
  <si>
    <t xml:space="preserve">Construcciones </t>
  </si>
  <si>
    <t>Adecuaciones -Remodelaciones</t>
  </si>
  <si>
    <t>Unidades proyectadas AÑO</t>
  </si>
  <si>
    <t xml:space="preserve">Costos Indirectos </t>
  </si>
  <si>
    <t>Depreciaciòn Maquinaria y Equipos</t>
  </si>
  <si>
    <t>Depreciación Muebles y enseres</t>
  </si>
  <si>
    <t>Depreciación Equipos de oficina</t>
  </si>
  <si>
    <t>Depreciación Herramientas</t>
  </si>
  <si>
    <t>Cuadro 13</t>
  </si>
  <si>
    <t>Cuadro 14</t>
  </si>
  <si>
    <t>Costos y Gastos Mensuales</t>
  </si>
  <si>
    <t>Gasto de personal de ventas</t>
  </si>
  <si>
    <t>Costos del producto (Prestaciòn del servicio)</t>
  </si>
  <si>
    <t>Cuadro 15</t>
  </si>
  <si>
    <t>(Depreciaciones y amortizaciones)</t>
  </si>
  <si>
    <t>Cuadro 6</t>
  </si>
  <si>
    <t>Cuadro 7</t>
  </si>
  <si>
    <t>Cuadro 21</t>
  </si>
  <si>
    <t>Ingresos Operacionales por ventas</t>
  </si>
  <si>
    <t>Terrenos (Compra de lote o terreno para Construcción)</t>
  </si>
  <si>
    <t>Terreno</t>
  </si>
  <si>
    <t>VERIFICACIÓN DE SALDOS</t>
  </si>
  <si>
    <t>RAZONES FINANCIERAS</t>
  </si>
  <si>
    <t>MARGEN NETO DE UTILIDAD</t>
  </si>
  <si>
    <t>Incremento anual en Ventas</t>
  </si>
  <si>
    <t>Cuadro 9</t>
  </si>
  <si>
    <t>Cuadro 11</t>
  </si>
  <si>
    <t>DISTRIBUCIÓN DEPRECIACIÓN</t>
  </si>
  <si>
    <t>Cuadro 8</t>
  </si>
  <si>
    <t>Cuadro 17</t>
  </si>
  <si>
    <t>Cuadro 19</t>
  </si>
  <si>
    <t>Cuadro 18</t>
  </si>
  <si>
    <t>Cuadro 25</t>
  </si>
  <si>
    <t>Cuadro 26</t>
  </si>
  <si>
    <t>Cuadro 27</t>
  </si>
  <si>
    <t>Cuadros 15 y 19</t>
  </si>
  <si>
    <t>Cuadro 16</t>
  </si>
  <si>
    <t>Cuadro 20</t>
  </si>
  <si>
    <t>Cuadro 22</t>
  </si>
  <si>
    <t>APORTES</t>
  </si>
  <si>
    <t>Costos Indirectos Fijos</t>
  </si>
  <si>
    <t>Costos Indirectos Variables</t>
  </si>
  <si>
    <t>Unidades a Vender</t>
  </si>
  <si>
    <t>Año Cero (hoy)</t>
  </si>
  <si>
    <t>Tomado de Cuadro 33</t>
  </si>
  <si>
    <t>Cuadro 28</t>
  </si>
  <si>
    <t>Cuadro 32</t>
  </si>
  <si>
    <t>Cálculo del Precio de Venta</t>
  </si>
  <si>
    <t>Material 1 Harina</t>
  </si>
  <si>
    <t>Material 2 Queso</t>
  </si>
  <si>
    <t>Material 3 Carnes</t>
  </si>
  <si>
    <t>Material 4 Hortalizas y verduras</t>
  </si>
  <si>
    <t>Material 7 Condimentos</t>
  </si>
  <si>
    <t>Material 8 Café</t>
  </si>
  <si>
    <t>Litro</t>
  </si>
  <si>
    <t>Libra</t>
  </si>
  <si>
    <t>Cuadro 1</t>
  </si>
  <si>
    <t>Cuadro  4</t>
  </si>
  <si>
    <t>Cuadro  5</t>
  </si>
  <si>
    <t>Cuadro  6</t>
  </si>
  <si>
    <t>Caja registradora</t>
  </si>
  <si>
    <t>Computador</t>
  </si>
  <si>
    <t>Equipo de sonido</t>
  </si>
  <si>
    <t>Impresora</t>
  </si>
  <si>
    <t xml:space="preserve"> </t>
  </si>
  <si>
    <t>Batería de cocina industrial</t>
  </si>
  <si>
    <t xml:space="preserve">Terrenos </t>
  </si>
  <si>
    <t>Tabla para picar</t>
  </si>
  <si>
    <t>CANTIDAD MENSUAL REQUERIDA</t>
  </si>
  <si>
    <t>Unidades proyectadas MES</t>
  </si>
  <si>
    <t>Gerente</t>
  </si>
  <si>
    <t>Cafeteria</t>
  </si>
  <si>
    <t>Gastos de administración y ventas</t>
  </si>
  <si>
    <t>Inversión diferida</t>
  </si>
  <si>
    <t>Amorización diferida</t>
  </si>
  <si>
    <t>UTILIDAD DEL EJERCICIO</t>
  </si>
  <si>
    <t xml:space="preserve">Otros Ingresos </t>
  </si>
  <si>
    <t>UTILIDAD OPERACIONAL</t>
  </si>
  <si>
    <t>FLUJO DE CAJA DE FINANCIACIÓN</t>
  </si>
  <si>
    <t>Financiación</t>
  </si>
  <si>
    <t>Aportes de  los socios</t>
  </si>
  <si>
    <t>Crédito Financiero</t>
  </si>
  <si>
    <t>Otras Fuentes (Valor en libros de Activos)</t>
  </si>
  <si>
    <t>Total Ingresos de Financiación</t>
  </si>
  <si>
    <t>Egresos de Financiación</t>
  </si>
  <si>
    <t>Abonos a capital</t>
  </si>
  <si>
    <t>Pago de Intereses</t>
  </si>
  <si>
    <t>Pago de Utilidades</t>
  </si>
  <si>
    <t>Total Egresos de Financiación</t>
  </si>
  <si>
    <t>FLUJO NETO DE CAJA</t>
  </si>
  <si>
    <t>Flujo de caja del período</t>
  </si>
  <si>
    <t xml:space="preserve">Saldo anterior de Caja y Bancos </t>
  </si>
  <si>
    <t>SALDO FINAL DE CAJA Y BANCOS</t>
  </si>
  <si>
    <t>ACTIVO TOTAL</t>
  </si>
  <si>
    <t>DTF</t>
  </si>
  <si>
    <t>Riesgo</t>
  </si>
  <si>
    <t>VALOR PRESENTE NETO</t>
  </si>
  <si>
    <t>Cálculo de la Tasa de Descuento o Tasa de Oportunidad</t>
  </si>
  <si>
    <t>Periodo</t>
  </si>
  <si>
    <t>Inversión</t>
  </si>
  <si>
    <t>Inversión - F.Caja</t>
  </si>
  <si>
    <t>Años</t>
  </si>
  <si>
    <t>Año 3</t>
  </si>
  <si>
    <t>Cálculo de Periodo de Recuperación de la Inversión PRI</t>
  </si>
  <si>
    <t>Flujo Caja Anual</t>
  </si>
  <si>
    <t>PRI</t>
  </si>
  <si>
    <t>PUNTO DE EQUILIBRIO</t>
  </si>
  <si>
    <t>COSTOS VARIABLES</t>
  </si>
  <si>
    <t xml:space="preserve">COSTOS TOTALES UNITARIOS </t>
  </si>
  <si>
    <t>Precio de venta</t>
  </si>
  <si>
    <t>Costo Variable Unitario</t>
  </si>
  <si>
    <t>Qu</t>
  </si>
  <si>
    <t>Cálculo Punto de Equilibrio Qu</t>
  </si>
  <si>
    <t>PROYECCIONES A PRECIOS CONSTANTES</t>
  </si>
  <si>
    <t>TO</t>
  </si>
  <si>
    <t>Tasa de Descuento o Tasa de Oportunidad</t>
  </si>
  <si>
    <t>Servicio de acueducto, alcantirillado y aseo</t>
  </si>
  <si>
    <t>Servicio de acueducto, alcantarillado y aseo</t>
  </si>
  <si>
    <t>Telèfono, internet banda ancha y televisión</t>
  </si>
  <si>
    <t>SMLMV 2023</t>
  </si>
  <si>
    <t>Auxilio de Transporte 2023</t>
  </si>
  <si>
    <t>Meseros</t>
  </si>
  <si>
    <t>Community Manager</t>
  </si>
  <si>
    <t>Afinador de Quesos</t>
  </si>
  <si>
    <t>Jefe de sala</t>
  </si>
  <si>
    <t>Freidora</t>
  </si>
  <si>
    <t>Estufas</t>
  </si>
  <si>
    <t>Nevera</t>
  </si>
  <si>
    <t>Tajadora</t>
  </si>
  <si>
    <t>Empacadora al vacío</t>
  </si>
  <si>
    <t>Balanza con etiquetadora</t>
  </si>
  <si>
    <t>Maquina de café</t>
  </si>
  <si>
    <t>Nevera con mostrador</t>
  </si>
  <si>
    <t>Sillas</t>
  </si>
  <si>
    <t>Mesas</t>
  </si>
  <si>
    <t>Sofás</t>
  </si>
  <si>
    <t>Sillas altas</t>
  </si>
  <si>
    <t>Barra de licores</t>
  </si>
  <si>
    <t xml:space="preserve">Escritorio </t>
  </si>
  <si>
    <t>Estantes</t>
  </si>
  <si>
    <t>Utensilios de cocina</t>
  </si>
  <si>
    <t>Juego de Coladores</t>
  </si>
  <si>
    <t>Juego de recipientes para almacenar</t>
  </si>
  <si>
    <t>Menaje para el servicio</t>
  </si>
  <si>
    <t>Cuchillos</t>
  </si>
  <si>
    <t>Utensilios de cocteleria</t>
  </si>
  <si>
    <t>Repisas de madera</t>
  </si>
  <si>
    <t>Mesas de trabajo</t>
  </si>
  <si>
    <t>Lamparas</t>
  </si>
  <si>
    <t>Barra</t>
  </si>
  <si>
    <t>Aire acondicionado</t>
  </si>
  <si>
    <t>Jefe de Cocina</t>
  </si>
  <si>
    <t>Auxiliar de Cocina</t>
  </si>
  <si>
    <t>Cartón</t>
  </si>
  <si>
    <t>Material 9 Huevos</t>
  </si>
  <si>
    <t>Material 12 Mantequilla</t>
  </si>
  <si>
    <t>Material 10 Granos</t>
  </si>
  <si>
    <t xml:space="preserve">Material 11 Endulzantes </t>
  </si>
  <si>
    <t>Otros</t>
  </si>
  <si>
    <t>Bartender</t>
  </si>
  <si>
    <t>Material 5 Aceites</t>
  </si>
  <si>
    <t>Material 6 Licores</t>
  </si>
  <si>
    <t>Reservas (5%  de las utiliades del ejercicio)</t>
  </si>
  <si>
    <t>Juego de manteles(x3)</t>
  </si>
  <si>
    <t>Batidora y licuadora</t>
  </si>
  <si>
    <t>Lava vajillas</t>
  </si>
  <si>
    <t>Juego de Copas(x4)</t>
  </si>
  <si>
    <t>Congelador industrial</t>
  </si>
  <si>
    <t>Maquina de hielo coctelero</t>
  </si>
  <si>
    <t>Horno y plancha Industrial con campana extractora</t>
  </si>
  <si>
    <t>Tasa de Reinversión</t>
  </si>
  <si>
    <t>Tasa de Financiamento</t>
  </si>
  <si>
    <t>TIRM</t>
  </si>
  <si>
    <t>Meses necesarios de capital</t>
  </si>
  <si>
    <t xml:space="preserve">Total costos del producto </t>
  </si>
  <si>
    <t xml:space="preserve">Número de servicios </t>
  </si>
  <si>
    <t xml:space="preserve">TIR Modificada </t>
  </si>
  <si>
    <t>Escenario Pesimista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</si>
</sst>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&quot;$&quot;\ #,##0.00_);[Red]\(&quot;$&quot;\ #,##0.00\)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 &quot;$&quot;\ * #,##0.00_ ;_ &quot;$&quot;\ * \-#,##0.00_ ;_ &quot;$&quot;\ * &quot;-&quot;??_ ;_ @_ "/>
    <numFmt numFmtId="168" formatCode="_ &quot;$&quot;\ * #,##0_ ;_ &quot;$&quot;\ * \-#,##0_ ;_ &quot;$&quot;\ * &quot;-&quot;??_ ;_ @_ "/>
    <numFmt numFmtId="169" formatCode="_ [$€-2]\ * #,##0.00_ ;_ [$€-2]\ * \-#,##0.00_ ;_ [$€-2]\ * &quot;-&quot;??_ "/>
    <numFmt numFmtId="170" formatCode="_-[$$-240A]\ * #,##0_ ;_-[$$-240A]\ * \-#,##0\ ;_-[$$-240A]\ * &quot;-&quot;_ ;_-@_ "/>
    <numFmt numFmtId="171" formatCode="_-[$$-240A]\ * #,##0.00_ ;_-[$$-240A]\ * \-#,##0.00\ ;_-[$$-240A]\ * &quot;-&quot;_ ;_-@_ "/>
    <numFmt numFmtId="172" formatCode="0.000000"/>
    <numFmt numFmtId="173" formatCode="_([$$-240A]\ * #,##0.00_);_([$$-240A]\ * \(#,##0.00\);_([$$-240A]\ * &quot;-&quot;??_);_(@_)"/>
    <numFmt numFmtId="174" formatCode="#,##0.0000"/>
    <numFmt numFmtId="175" formatCode="_-[$$-240A]* #,##0.00_-;\-[$$-240A]* #,##0.00_-;_-[$$-240A]* &quot;-&quot;??_-;_-@_-"/>
    <numFmt numFmtId="176" formatCode="#,##0.00;[Red]#,##0.00"/>
    <numFmt numFmtId="177" formatCode="&quot;$&quot;\ #,##0"/>
    <numFmt numFmtId="178" formatCode="&quot;$&quot;\ #,##0.00;[Red]&quot;$&quot;\ #,##0.00"/>
  </numFmts>
  <fonts count="25" x14ac:knownFonts="1">
    <font>
      <sz val="10"/>
      <name val="Arial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b/>
      <sz val="9.5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2"/>
      <color theme="9" tint="-0.249977111117893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5">
    <xf numFmtId="0" fontId="0" fillId="0" borderId="0" xfId="0"/>
    <xf numFmtId="177" fontId="0" fillId="0" borderId="1" xfId="0" applyNumberFormat="1" applyBorder="1"/>
    <xf numFmtId="0" fontId="15" fillId="2" borderId="3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170" fontId="5" fillId="0" borderId="0" xfId="0" applyNumberFormat="1" applyFont="1"/>
    <xf numFmtId="0" fontId="6" fillId="0" borderId="0" xfId="0" applyFont="1" applyAlignment="1">
      <alignment horizontal="center" vertical="top" wrapText="1"/>
    </xf>
    <xf numFmtId="168" fontId="6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16" fillId="0" borderId="0" xfId="0" applyFont="1"/>
    <xf numFmtId="165" fontId="5" fillId="0" borderId="0" xfId="0" applyNumberFormat="1" applyFont="1"/>
    <xf numFmtId="0" fontId="5" fillId="0" borderId="2" xfId="0" applyFont="1" applyBorder="1" applyAlignment="1">
      <alignment horizontal="justify"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/>
    <xf numFmtId="0" fontId="5" fillId="3" borderId="2" xfId="0" applyFont="1" applyFill="1" applyBorder="1" applyAlignment="1">
      <alignment horizontal="justify" wrapText="1"/>
    </xf>
    <xf numFmtId="170" fontId="5" fillId="0" borderId="1" xfId="0" applyNumberFormat="1" applyFont="1" applyBorder="1"/>
    <xf numFmtId="3" fontId="6" fillId="4" borderId="1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70" fontId="5" fillId="0" borderId="3" xfId="0" applyNumberFormat="1" applyFont="1" applyBorder="1"/>
    <xf numFmtId="0" fontId="5" fillId="0" borderId="2" xfId="0" applyFont="1" applyBorder="1" applyAlignment="1">
      <alignment horizontal="left" wrapText="1"/>
    </xf>
    <xf numFmtId="0" fontId="5" fillId="3" borderId="0" xfId="0" applyFont="1" applyFill="1"/>
    <xf numFmtId="0" fontId="5" fillId="0" borderId="0" xfId="0" applyFont="1" applyAlignment="1">
      <alignment horizontal="justify" wrapText="1"/>
    </xf>
    <xf numFmtId="0" fontId="6" fillId="4" borderId="1" xfId="0" applyFont="1" applyFill="1" applyBorder="1" applyAlignment="1">
      <alignment horizontal="justify" wrapText="1"/>
    </xf>
    <xf numFmtId="3" fontId="6" fillId="0" borderId="0" xfId="0" applyNumberFormat="1" applyFont="1" applyAlignment="1">
      <alignment horizontal="center"/>
    </xf>
    <xf numFmtId="3" fontId="5" fillId="0" borderId="0" xfId="0" applyNumberFormat="1" applyFont="1"/>
    <xf numFmtId="0" fontId="6" fillId="0" borderId="0" xfId="0" applyFont="1" applyAlignment="1">
      <alignment horizontal="center"/>
    </xf>
    <xf numFmtId="170" fontId="6" fillId="0" borderId="0" xfId="0" applyNumberFormat="1" applyFont="1"/>
    <xf numFmtId="0" fontId="6" fillId="0" borderId="1" xfId="0" applyFont="1" applyBorder="1"/>
    <xf numFmtId="3" fontId="6" fillId="5" borderId="1" xfId="0" applyNumberFormat="1" applyFont="1" applyFill="1" applyBorder="1" applyAlignment="1">
      <alignment horizontal="center"/>
    </xf>
    <xf numFmtId="3" fontId="6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9" fontId="17" fillId="0" borderId="0" xfId="0" applyNumberFormat="1" applyFont="1"/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center" wrapText="1"/>
    </xf>
    <xf numFmtId="170" fontId="5" fillId="5" borderId="7" xfId="0" applyNumberFormat="1" applyFont="1" applyFill="1" applyBorder="1"/>
    <xf numFmtId="0" fontId="5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170" fontId="5" fillId="5" borderId="1" xfId="0" applyNumberFormat="1" applyFont="1" applyFill="1" applyBorder="1"/>
    <xf numFmtId="171" fontId="5" fillId="5" borderId="5" xfId="0" applyNumberFormat="1" applyFont="1" applyFill="1" applyBorder="1"/>
    <xf numFmtId="0" fontId="5" fillId="0" borderId="11" xfId="0" applyFont="1" applyBorder="1" applyAlignment="1">
      <alignment horizontal="left" wrapText="1"/>
    </xf>
    <xf numFmtId="170" fontId="5" fillId="5" borderId="8" xfId="0" applyNumberFormat="1" applyFont="1" applyFill="1" applyBorder="1"/>
    <xf numFmtId="0" fontId="5" fillId="0" borderId="12" xfId="0" applyFont="1" applyBorder="1" applyAlignment="1">
      <alignment horizontal="left" wrapText="1"/>
    </xf>
    <xf numFmtId="171" fontId="5" fillId="0" borderId="6" xfId="0" applyNumberFormat="1" applyFont="1" applyBorder="1"/>
    <xf numFmtId="170" fontId="5" fillId="5" borderId="13" xfId="0" applyNumberFormat="1" applyFont="1" applyFill="1" applyBorder="1"/>
    <xf numFmtId="0" fontId="5" fillId="0" borderId="6" xfId="0" applyFont="1" applyBorder="1" applyAlignment="1">
      <alignment horizontal="left" wrapText="1"/>
    </xf>
    <xf numFmtId="170" fontId="6" fillId="5" borderId="13" xfId="0" applyNumberFormat="1" applyFont="1" applyFill="1" applyBorder="1"/>
    <xf numFmtId="175" fontId="0" fillId="0" borderId="0" xfId="0" applyNumberFormat="1"/>
    <xf numFmtId="0" fontId="5" fillId="0" borderId="2" xfId="0" applyFont="1" applyBorder="1" applyAlignment="1">
      <alignment wrapText="1"/>
    </xf>
    <xf numFmtId="171" fontId="5" fillId="5" borderId="0" xfId="0" applyNumberFormat="1" applyFont="1" applyFill="1"/>
    <xf numFmtId="170" fontId="6" fillId="5" borderId="1" xfId="0" applyNumberFormat="1" applyFont="1" applyFill="1" applyBorder="1"/>
    <xf numFmtId="0" fontId="7" fillId="0" borderId="0" xfId="0" applyFont="1"/>
    <xf numFmtId="3" fontId="6" fillId="0" borderId="1" xfId="0" applyNumberFormat="1" applyFont="1" applyBorder="1"/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9" fontId="16" fillId="0" borderId="0" xfId="0" applyNumberFormat="1" applyFont="1"/>
    <xf numFmtId="0" fontId="6" fillId="3" borderId="0" xfId="0" applyFont="1" applyFill="1"/>
    <xf numFmtId="0" fontId="5" fillId="3" borderId="9" xfId="0" applyFont="1" applyFill="1" applyBorder="1" applyAlignment="1">
      <alignment horizontal="justify" wrapText="1"/>
    </xf>
    <xf numFmtId="9" fontId="5" fillId="3" borderId="10" xfId="0" applyNumberFormat="1" applyFont="1" applyFill="1" applyBorder="1" applyAlignment="1">
      <alignment horizontal="center"/>
    </xf>
    <xf numFmtId="3" fontId="5" fillId="3" borderId="10" xfId="4" applyNumberFormat="1" applyFont="1" applyFill="1" applyBorder="1" applyAlignment="1" applyProtection="1">
      <alignment horizontal="center"/>
    </xf>
    <xf numFmtId="3" fontId="5" fillId="3" borderId="5" xfId="4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left"/>
    </xf>
    <xf numFmtId="9" fontId="5" fillId="3" borderId="5" xfId="0" applyNumberFormat="1" applyFont="1" applyFill="1" applyBorder="1" applyAlignment="1">
      <alignment horizontal="center"/>
    </xf>
    <xf numFmtId="3" fontId="5" fillId="3" borderId="3" xfId="0" applyNumberFormat="1" applyFont="1" applyFill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5" fillId="3" borderId="2" xfId="0" applyFont="1" applyFill="1" applyBorder="1"/>
    <xf numFmtId="0" fontId="5" fillId="3" borderId="10" xfId="0" applyFont="1" applyFill="1" applyBorder="1" applyAlignment="1">
      <alignment horizontal="center"/>
    </xf>
    <xf numFmtId="3" fontId="5" fillId="3" borderId="10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3" fontId="5" fillId="3" borderId="5" xfId="0" applyNumberFormat="1" applyFont="1" applyFill="1" applyBorder="1"/>
    <xf numFmtId="0" fontId="5" fillId="3" borderId="6" xfId="0" applyFont="1" applyFill="1" applyBorder="1" applyAlignment="1">
      <alignment horizontal="center"/>
    </xf>
    <xf numFmtId="3" fontId="5" fillId="3" borderId="0" xfId="0" applyNumberFormat="1" applyFont="1" applyFill="1"/>
    <xf numFmtId="0" fontId="5" fillId="6" borderId="0" xfId="0" applyFont="1" applyFill="1"/>
    <xf numFmtId="9" fontId="5" fillId="3" borderId="5" xfId="0" applyNumberFormat="1" applyFont="1" applyFill="1" applyBorder="1"/>
    <xf numFmtId="0" fontId="5" fillId="3" borderId="3" xfId="0" applyFont="1" applyFill="1" applyBorder="1"/>
    <xf numFmtId="0" fontId="5" fillId="7" borderId="0" xfId="0" applyFont="1" applyFill="1"/>
    <xf numFmtId="9" fontId="5" fillId="3" borderId="6" xfId="0" applyNumberFormat="1" applyFont="1" applyFill="1" applyBorder="1"/>
    <xf numFmtId="0" fontId="5" fillId="3" borderId="6" xfId="0" applyFont="1" applyFill="1" applyBorder="1"/>
    <xf numFmtId="0" fontId="2" fillId="0" borderId="0" xfId="0" applyFont="1"/>
    <xf numFmtId="0" fontId="5" fillId="0" borderId="0" xfId="0" applyFont="1" applyAlignment="1">
      <alignment horizontal="center"/>
    </xf>
    <xf numFmtId="170" fontId="0" fillId="0" borderId="0" xfId="0" applyNumberFormat="1"/>
    <xf numFmtId="0" fontId="5" fillId="0" borderId="6" xfId="0" applyFont="1" applyBorder="1" applyAlignment="1">
      <alignment horizontal="center"/>
    </xf>
    <xf numFmtId="170" fontId="2" fillId="0" borderId="0" xfId="0" applyNumberFormat="1" applyFont="1"/>
    <xf numFmtId="0" fontId="5" fillId="0" borderId="4" xfId="0" applyFont="1" applyBorder="1"/>
    <xf numFmtId="0" fontId="5" fillId="0" borderId="14" xfId="0" applyFont="1" applyBorder="1"/>
    <xf numFmtId="0" fontId="5" fillId="3" borderId="9" xfId="0" applyFont="1" applyFill="1" applyBorder="1"/>
    <xf numFmtId="0" fontId="7" fillId="3" borderId="10" xfId="0" applyFont="1" applyFill="1" applyBorder="1" applyAlignment="1">
      <alignment horizontal="center"/>
    </xf>
    <xf numFmtId="3" fontId="7" fillId="3" borderId="4" xfId="0" applyNumberFormat="1" applyFont="1" applyFill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5" fillId="3" borderId="12" xfId="0" applyFont="1" applyFill="1" applyBorder="1"/>
    <xf numFmtId="0" fontId="7" fillId="3" borderId="6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3" borderId="5" xfId="0" applyNumberFormat="1" applyFont="1" applyFill="1" applyBorder="1" applyAlignment="1">
      <alignment horizontal="center"/>
    </xf>
    <xf numFmtId="0" fontId="5" fillId="3" borderId="5" xfId="0" applyFont="1" applyFill="1" applyBorder="1"/>
    <xf numFmtId="0" fontId="5" fillId="3" borderId="14" xfId="0" applyFont="1" applyFill="1" applyBorder="1"/>
    <xf numFmtId="0" fontId="5" fillId="0" borderId="2" xfId="0" applyFont="1" applyBorder="1"/>
    <xf numFmtId="0" fontId="5" fillId="0" borderId="5" xfId="0" applyFont="1" applyBorder="1" applyAlignment="1">
      <alignment horizontal="center"/>
    </xf>
    <xf numFmtId="165" fontId="5" fillId="0" borderId="1" xfId="0" applyNumberFormat="1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3" xfId="0" applyFont="1" applyBorder="1"/>
    <xf numFmtId="0" fontId="5" fillId="0" borderId="5" xfId="0" applyFont="1" applyBorder="1"/>
    <xf numFmtId="3" fontId="5" fillId="0" borderId="5" xfId="0" applyNumberFormat="1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3" fontId="5" fillId="0" borderId="10" xfId="0" applyNumberFormat="1" applyFont="1" applyBorder="1" applyAlignment="1">
      <alignment horizontal="center"/>
    </xf>
    <xf numFmtId="0" fontId="5" fillId="0" borderId="6" xfId="0" applyFont="1" applyBorder="1"/>
    <xf numFmtId="170" fontId="18" fillId="0" borderId="0" xfId="0" applyNumberFormat="1" applyFont="1"/>
    <xf numFmtId="2" fontId="5" fillId="3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170" fontId="5" fillId="3" borderId="0" xfId="0" applyNumberFormat="1" applyFont="1" applyFill="1"/>
    <xf numFmtId="9" fontId="5" fillId="0" borderId="0" xfId="4" applyFont="1" applyBorder="1" applyAlignment="1" applyProtection="1">
      <alignment horizontal="center"/>
    </xf>
    <xf numFmtId="2" fontId="5" fillId="3" borderId="0" xfId="4" applyNumberFormat="1" applyFont="1" applyFill="1" applyBorder="1" applyAlignment="1" applyProtection="1">
      <alignment horizontal="center"/>
    </xf>
    <xf numFmtId="2" fontId="5" fillId="0" borderId="0" xfId="4" applyNumberFormat="1" applyFont="1" applyFill="1" applyBorder="1" applyAlignment="1" applyProtection="1">
      <alignment horizontal="center"/>
    </xf>
    <xf numFmtId="9" fontId="5" fillId="3" borderId="0" xfId="4" applyFont="1" applyFill="1" applyBorder="1" applyAlignment="1" applyProtection="1">
      <alignment horizontal="center"/>
    </xf>
    <xf numFmtId="0" fontId="6" fillId="8" borderId="7" xfId="0" applyFont="1" applyFill="1" applyBorder="1" applyAlignment="1">
      <alignment horizontal="center"/>
    </xf>
    <xf numFmtId="3" fontId="6" fillId="8" borderId="8" xfId="0" applyNumberFormat="1" applyFont="1" applyFill="1" applyBorder="1" applyAlignment="1">
      <alignment horizontal="center"/>
    </xf>
    <xf numFmtId="170" fontId="5" fillId="9" borderId="1" xfId="0" applyNumberFormat="1" applyFont="1" applyFill="1" applyBorder="1"/>
    <xf numFmtId="170" fontId="6" fillId="2" borderId="1" xfId="0" applyNumberFormat="1" applyFont="1" applyFill="1" applyBorder="1"/>
    <xf numFmtId="0" fontId="6" fillId="9" borderId="2" xfId="0" applyFont="1" applyFill="1" applyBorder="1"/>
    <xf numFmtId="0" fontId="6" fillId="9" borderId="5" xfId="0" applyFont="1" applyFill="1" applyBorder="1"/>
    <xf numFmtId="0" fontId="6" fillId="9" borderId="3" xfId="0" applyFont="1" applyFill="1" applyBorder="1"/>
    <xf numFmtId="170" fontId="6" fillId="9" borderId="1" xfId="0" applyNumberFormat="1" applyFont="1" applyFill="1" applyBorder="1"/>
    <xf numFmtId="0" fontId="5" fillId="3" borderId="15" xfId="0" applyFont="1" applyFill="1" applyBorder="1"/>
    <xf numFmtId="0" fontId="6" fillId="2" borderId="2" xfId="0" applyFont="1" applyFill="1" applyBorder="1"/>
    <xf numFmtId="0" fontId="6" fillId="2" borderId="5" xfId="0" applyFont="1" applyFill="1" applyBorder="1"/>
    <xf numFmtId="0" fontId="6" fillId="2" borderId="3" xfId="0" applyFont="1" applyFill="1" applyBorder="1"/>
    <xf numFmtId="0" fontId="5" fillId="2" borderId="3" xfId="0" applyFont="1" applyFill="1" applyBorder="1"/>
    <xf numFmtId="3" fontId="6" fillId="2" borderId="3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15" xfId="0" applyFont="1" applyFill="1" applyBorder="1"/>
    <xf numFmtId="170" fontId="5" fillId="2" borderId="1" xfId="0" applyNumberFormat="1" applyFont="1" applyFill="1" applyBorder="1"/>
    <xf numFmtId="0" fontId="5" fillId="2" borderId="0" xfId="0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170" fontId="5" fillId="2" borderId="0" xfId="0" applyNumberFormat="1" applyFont="1" applyFill="1"/>
    <xf numFmtId="0" fontId="6" fillId="2" borderId="5" xfId="0" applyFont="1" applyFill="1" applyBorder="1" applyAlignment="1">
      <alignment horizontal="center"/>
    </xf>
    <xf numFmtId="3" fontId="6" fillId="2" borderId="5" xfId="0" applyNumberFormat="1" applyFont="1" applyFill="1" applyBorder="1" applyAlignment="1">
      <alignment horizontal="center"/>
    </xf>
    <xf numFmtId="9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10" fontId="14" fillId="0" borderId="1" xfId="0" applyNumberFormat="1" applyFont="1" applyBorder="1" applyAlignment="1">
      <alignment vertical="center"/>
    </xf>
    <xf numFmtId="10" fontId="6" fillId="2" borderId="1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70" fontId="5" fillId="9" borderId="3" xfId="0" applyNumberFormat="1" applyFont="1" applyFill="1" applyBorder="1"/>
    <xf numFmtId="10" fontId="5" fillId="9" borderId="1" xfId="0" applyNumberFormat="1" applyFont="1" applyFill="1" applyBorder="1" applyAlignment="1">
      <alignment horizontal="center"/>
    </xf>
    <xf numFmtId="172" fontId="5" fillId="9" borderId="1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19" fillId="0" borderId="0" xfId="0" applyFont="1"/>
    <xf numFmtId="166" fontId="15" fillId="0" borderId="1" xfId="3" applyFont="1" applyFill="1" applyBorder="1" applyAlignment="1" applyProtection="1">
      <alignment horizontal="center" vertical="center"/>
    </xf>
    <xf numFmtId="166" fontId="15" fillId="0" borderId="1" xfId="3" applyFont="1" applyFill="1" applyBorder="1" applyAlignment="1" applyProtection="1">
      <alignment horizontal="center"/>
    </xf>
    <xf numFmtId="166" fontId="15" fillId="0" borderId="3" xfId="3" applyFont="1" applyFill="1" applyBorder="1" applyAlignment="1" applyProtection="1">
      <alignment horizontal="center"/>
    </xf>
    <xf numFmtId="166" fontId="0" fillId="0" borderId="1" xfId="3" applyFont="1" applyFill="1" applyBorder="1" applyAlignment="1" applyProtection="1">
      <alignment horizontal="center" vertical="center"/>
    </xf>
    <xf numFmtId="177" fontId="20" fillId="0" borderId="1" xfId="0" applyNumberFormat="1" applyFont="1" applyBorder="1" applyAlignment="1">
      <alignment vertical="center"/>
    </xf>
    <xf numFmtId="177" fontId="0" fillId="0" borderId="0" xfId="0" applyNumberFormat="1"/>
    <xf numFmtId="166" fontId="5" fillId="0" borderId="0" xfId="3" applyFont="1" applyFill="1" applyBorder="1" applyAlignment="1" applyProtection="1">
      <alignment horizontal="center" vertical="center"/>
    </xf>
    <xf numFmtId="1" fontId="6" fillId="8" borderId="1" xfId="0" applyNumberFormat="1" applyFont="1" applyFill="1" applyBorder="1" applyAlignment="1">
      <alignment horizontal="center"/>
    </xf>
    <xf numFmtId="177" fontId="5" fillId="0" borderId="1" xfId="0" applyNumberFormat="1" applyFont="1" applyBorder="1"/>
    <xf numFmtId="171" fontId="5" fillId="0" borderId="1" xfId="0" applyNumberFormat="1" applyFont="1" applyBorder="1"/>
    <xf numFmtId="164" fontId="5" fillId="0" borderId="1" xfId="0" applyNumberFormat="1" applyFont="1" applyBorder="1"/>
    <xf numFmtId="176" fontId="5" fillId="0" borderId="0" xfId="0" applyNumberFormat="1" applyFont="1"/>
    <xf numFmtId="0" fontId="6" fillId="8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top" wrapText="1"/>
    </xf>
    <xf numFmtId="165" fontId="21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justify" vertical="top" wrapText="1"/>
    </xf>
    <xf numFmtId="165" fontId="5" fillId="0" borderId="1" xfId="2" applyNumberFormat="1" applyFont="1" applyFill="1" applyBorder="1" applyAlignment="1" applyProtection="1">
      <alignment horizontal="right" vertical="top" wrapText="1"/>
    </xf>
    <xf numFmtId="10" fontId="5" fillId="0" borderId="2" xfId="4" applyNumberFormat="1" applyFont="1" applyBorder="1" applyAlignment="1" applyProtection="1">
      <alignment horizontal="center"/>
    </xf>
    <xf numFmtId="165" fontId="5" fillId="0" borderId="2" xfId="2" applyNumberFormat="1" applyFont="1" applyFill="1" applyBorder="1" applyAlignment="1" applyProtection="1">
      <alignment horizontal="center" vertical="top" wrapText="1"/>
    </xf>
    <xf numFmtId="10" fontId="5" fillId="0" borderId="0" xfId="0" applyNumberFormat="1" applyFont="1"/>
    <xf numFmtId="0" fontId="6" fillId="0" borderId="0" xfId="0" applyFont="1" applyAlignment="1">
      <alignment horizontal="justify" wrapText="1"/>
    </xf>
    <xf numFmtId="0" fontId="5" fillId="0" borderId="1" xfId="0" applyFont="1" applyBorder="1" applyAlignment="1">
      <alignment horizontal="left" wrapText="1"/>
    </xf>
    <xf numFmtId="9" fontId="5" fillId="0" borderId="1" xfId="4" applyFont="1" applyBorder="1" applyAlignment="1" applyProtection="1">
      <alignment horizontal="center"/>
    </xf>
    <xf numFmtId="0" fontId="5" fillId="0" borderId="0" xfId="0" applyFont="1" applyAlignment="1">
      <alignment vertical="center" wrapText="1"/>
    </xf>
    <xf numFmtId="9" fontId="5" fillId="0" borderId="1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173" fontId="5" fillId="0" borderId="0" xfId="0" applyNumberFormat="1" applyFont="1"/>
    <xf numFmtId="3" fontId="6" fillId="0" borderId="1" xfId="0" applyNumberFormat="1" applyFont="1" applyBorder="1" applyAlignment="1">
      <alignment horizontal="center"/>
    </xf>
    <xf numFmtId="1" fontId="16" fillId="0" borderId="0" xfId="0" applyNumberFormat="1" applyFont="1"/>
    <xf numFmtId="175" fontId="5" fillId="0" borderId="0" xfId="0" applyNumberFormat="1" applyFont="1"/>
    <xf numFmtId="1" fontId="5" fillId="0" borderId="0" xfId="0" applyNumberFormat="1" applyFont="1"/>
    <xf numFmtId="9" fontId="5" fillId="0" borderId="5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justify" wrapText="1"/>
    </xf>
    <xf numFmtId="9" fontId="5" fillId="0" borderId="10" xfId="0" applyNumberFormat="1" applyFont="1" applyBorder="1" applyAlignment="1">
      <alignment horizontal="center" wrapText="1"/>
    </xf>
    <xf numFmtId="0" fontId="5" fillId="0" borderId="11" xfId="0" applyFont="1" applyBorder="1" applyAlignment="1">
      <alignment horizontal="justify" wrapText="1"/>
    </xf>
    <xf numFmtId="0" fontId="22" fillId="0" borderId="0" xfId="0" applyFont="1"/>
    <xf numFmtId="9" fontId="5" fillId="0" borderId="0" xfId="0" applyNumberFormat="1" applyFont="1" applyAlignment="1">
      <alignment horizontal="center" wrapText="1"/>
    </xf>
    <xf numFmtId="0" fontId="23" fillId="0" borderId="0" xfId="0" applyFont="1" applyAlignment="1">
      <alignment horizontal="left"/>
    </xf>
    <xf numFmtId="3" fontId="23" fillId="0" borderId="0" xfId="0" applyNumberFormat="1" applyFont="1" applyAlignment="1">
      <alignment horizontal="right"/>
    </xf>
    <xf numFmtId="0" fontId="5" fillId="0" borderId="16" xfId="0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2" fontId="5" fillId="0" borderId="3" xfId="0" applyNumberFormat="1" applyFont="1" applyBorder="1"/>
    <xf numFmtId="10" fontId="5" fillId="0" borderId="3" xfId="4" applyNumberFormat="1" applyFont="1" applyFill="1" applyBorder="1" applyProtection="1"/>
    <xf numFmtId="10" fontId="5" fillId="0" borderId="1" xfId="0" applyNumberFormat="1" applyFont="1" applyBorder="1" applyAlignment="1">
      <alignment horizontal="center"/>
    </xf>
    <xf numFmtId="10" fontId="21" fillId="0" borderId="1" xfId="4" applyNumberFormat="1" applyFont="1" applyBorder="1" applyProtection="1"/>
    <xf numFmtId="0" fontId="1" fillId="0" borderId="0" xfId="0" applyFont="1"/>
    <xf numFmtId="2" fontId="6" fillId="8" borderId="1" xfId="2" applyNumberFormat="1" applyFont="1" applyFill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center" vertical="top" wrapText="1"/>
    </xf>
    <xf numFmtId="0" fontId="6" fillId="12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 vertical="top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top" wrapText="1"/>
    </xf>
    <xf numFmtId="168" fontId="6" fillId="12" borderId="1" xfId="2" applyNumberFormat="1" applyFont="1" applyFill="1" applyBorder="1" applyAlignment="1" applyProtection="1">
      <alignment horizontal="center" vertical="top" wrapText="1"/>
    </xf>
    <xf numFmtId="0" fontId="6" fillId="12" borderId="2" xfId="0" applyFont="1" applyFill="1" applyBorder="1" applyAlignment="1">
      <alignment horizontal="center"/>
    </xf>
    <xf numFmtId="0" fontId="6" fillId="12" borderId="1" xfId="0" applyFont="1" applyFill="1" applyBorder="1"/>
    <xf numFmtId="170" fontId="6" fillId="13" borderId="1" xfId="0" applyNumberFormat="1" applyFont="1" applyFill="1" applyBorder="1"/>
    <xf numFmtId="170" fontId="5" fillId="13" borderId="1" xfId="0" applyNumberFormat="1" applyFont="1" applyFill="1" applyBorder="1"/>
    <xf numFmtId="0" fontId="6" fillId="13" borderId="1" xfId="0" applyFont="1" applyFill="1" applyBorder="1" applyAlignment="1">
      <alignment horizontal="center" vertical="top" wrapText="1"/>
    </xf>
    <xf numFmtId="0" fontId="6" fillId="13" borderId="2" xfId="0" applyFont="1" applyFill="1" applyBorder="1" applyAlignment="1">
      <alignment horizontal="center"/>
    </xf>
    <xf numFmtId="165" fontId="6" fillId="13" borderId="1" xfId="0" applyNumberFormat="1" applyFont="1" applyFill="1" applyBorder="1"/>
    <xf numFmtId="0" fontId="6" fillId="13" borderId="2" xfId="0" applyFont="1" applyFill="1" applyBorder="1" applyAlignment="1">
      <alignment horizontal="center" wrapText="1"/>
    </xf>
    <xf numFmtId="0" fontId="6" fillId="13" borderId="2" xfId="0" applyFont="1" applyFill="1" applyBorder="1" applyAlignment="1">
      <alignment horizontal="center" vertical="top" wrapText="1"/>
    </xf>
    <xf numFmtId="165" fontId="6" fillId="13" borderId="1" xfId="2" applyNumberFormat="1" applyFont="1" applyFill="1" applyBorder="1" applyAlignment="1" applyProtection="1">
      <alignment horizontal="right" vertical="top" wrapText="1"/>
    </xf>
    <xf numFmtId="165" fontId="5" fillId="13" borderId="1" xfId="2" applyNumberFormat="1" applyFont="1" applyFill="1" applyBorder="1" applyAlignment="1" applyProtection="1">
      <alignment horizontal="right" vertical="top" wrapText="1"/>
    </xf>
    <xf numFmtId="0" fontId="6" fillId="13" borderId="2" xfId="0" applyFont="1" applyFill="1" applyBorder="1"/>
    <xf numFmtId="0" fontId="6" fillId="13" borderId="5" xfId="0" applyFont="1" applyFill="1" applyBorder="1"/>
    <xf numFmtId="10" fontId="5" fillId="13" borderId="1" xfId="4" applyNumberFormat="1" applyFont="1" applyFill="1" applyBorder="1" applyAlignment="1" applyProtection="1">
      <alignment horizontal="right"/>
    </xf>
    <xf numFmtId="165" fontId="5" fillId="13" borderId="1" xfId="0" applyNumberFormat="1" applyFont="1" applyFill="1" applyBorder="1"/>
    <xf numFmtId="0" fontId="1" fillId="0" borderId="1" xfId="0" applyFont="1" applyBorder="1" applyAlignment="1">
      <alignment horizontal="left" wrapText="1"/>
    </xf>
    <xf numFmtId="9" fontId="1" fillId="0" borderId="1" xfId="0" applyNumberFormat="1" applyFont="1" applyBorder="1" applyAlignment="1">
      <alignment horizontal="center" wrapText="1"/>
    </xf>
    <xf numFmtId="0" fontId="1" fillId="3" borderId="2" xfId="0" applyFont="1" applyFill="1" applyBorder="1" applyAlignment="1">
      <alignment horizontal="justify" wrapText="1"/>
    </xf>
    <xf numFmtId="0" fontId="1" fillId="0" borderId="11" xfId="0" applyFont="1" applyBorder="1" applyAlignment="1">
      <alignment horizontal="justify" wrapText="1"/>
    </xf>
    <xf numFmtId="0" fontId="1" fillId="0" borderId="1" xfId="0" applyFont="1" applyBorder="1" applyAlignment="1">
      <alignment horizontal="justify" wrapText="1"/>
    </xf>
    <xf numFmtId="0" fontId="1" fillId="0" borderId="8" xfId="0" applyFont="1" applyBorder="1" applyAlignment="1">
      <alignment horizontal="justify" wrapText="1"/>
    </xf>
    <xf numFmtId="178" fontId="5" fillId="0" borderId="0" xfId="0" applyNumberFormat="1" applyFont="1"/>
    <xf numFmtId="9" fontId="5" fillId="0" borderId="0" xfId="4" applyFont="1"/>
    <xf numFmtId="9" fontId="5" fillId="0" borderId="0" xfId="0" applyNumberFormat="1" applyFont="1"/>
    <xf numFmtId="0" fontId="1" fillId="0" borderId="12" xfId="0" applyFont="1" applyBorder="1"/>
    <xf numFmtId="10" fontId="1" fillId="0" borderId="1" xfId="0" applyNumberFormat="1" applyFont="1" applyBorder="1" applyAlignment="1">
      <alignment horizontal="center"/>
    </xf>
    <xf numFmtId="168" fontId="5" fillId="0" borderId="0" xfId="0" applyNumberFormat="1" applyFont="1"/>
    <xf numFmtId="0" fontId="5" fillId="0" borderId="1" xfId="0" applyFont="1" applyBorder="1" applyAlignment="1">
      <alignment horizontal="center" vertical="top" wrapText="1"/>
    </xf>
    <xf numFmtId="0" fontId="6" fillId="12" borderId="9" xfId="0" applyFont="1" applyFill="1" applyBorder="1" applyAlignment="1">
      <alignment horizontal="center"/>
    </xf>
    <xf numFmtId="0" fontId="6" fillId="1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4" fillId="0" borderId="0" xfId="0" applyFont="1"/>
    <xf numFmtId="0" fontId="10" fillId="0" borderId="0" xfId="0" applyFont="1"/>
    <xf numFmtId="165" fontId="21" fillId="0" borderId="8" xfId="0" applyNumberFormat="1" applyFont="1" applyBorder="1" applyAlignment="1">
      <alignment vertical="center"/>
    </xf>
    <xf numFmtId="0" fontId="6" fillId="14" borderId="1" xfId="0" applyFont="1" applyFill="1" applyBorder="1" applyAlignment="1">
      <alignment horizontal="center" vertical="top" wrapText="1"/>
    </xf>
    <xf numFmtId="0" fontId="6" fillId="14" borderId="1" xfId="0" applyFont="1" applyFill="1" applyBorder="1" applyAlignment="1">
      <alignment horizontal="center" wrapText="1"/>
    </xf>
    <xf numFmtId="0" fontId="6" fillId="14" borderId="1" xfId="0" applyFont="1" applyFill="1" applyBorder="1" applyAlignment="1">
      <alignment horizontal="center"/>
    </xf>
    <xf numFmtId="0" fontId="6" fillId="14" borderId="7" xfId="0" applyFont="1" applyFill="1" applyBorder="1" applyAlignment="1">
      <alignment horizontal="center"/>
    </xf>
    <xf numFmtId="0" fontId="6" fillId="14" borderId="8" xfId="0" applyFont="1" applyFill="1" applyBorder="1" applyAlignment="1">
      <alignment horizontal="center"/>
    </xf>
    <xf numFmtId="10" fontId="5" fillId="15" borderId="1" xfId="4" applyNumberFormat="1" applyFont="1" applyFill="1" applyBorder="1" applyAlignment="1" applyProtection="1">
      <alignment horizontal="center" wrapText="1"/>
    </xf>
    <xf numFmtId="10" fontId="6" fillId="15" borderId="1" xfId="4" applyNumberFormat="1" applyFont="1" applyFill="1" applyBorder="1" applyAlignment="1" applyProtection="1">
      <alignment horizontal="center" wrapText="1"/>
    </xf>
    <xf numFmtId="0" fontId="6" fillId="15" borderId="5" xfId="0" applyFont="1" applyFill="1" applyBorder="1" applyAlignment="1">
      <alignment wrapText="1"/>
    </xf>
    <xf numFmtId="0" fontId="6" fillId="15" borderId="1" xfId="0" applyFont="1" applyFill="1" applyBorder="1" applyAlignment="1">
      <alignment horizontal="center"/>
    </xf>
    <xf numFmtId="0" fontId="6" fillId="15" borderId="2" xfId="0" applyFont="1" applyFill="1" applyBorder="1" applyAlignment="1">
      <alignment horizontal="center" wrapText="1"/>
    </xf>
    <xf numFmtId="0" fontId="6" fillId="15" borderId="1" xfId="0" applyFont="1" applyFill="1" applyBorder="1"/>
    <xf numFmtId="170" fontId="6" fillId="15" borderId="1" xfId="0" applyNumberFormat="1" applyFont="1" applyFill="1" applyBorder="1"/>
    <xf numFmtId="170" fontId="5" fillId="15" borderId="1" xfId="0" applyNumberFormat="1" applyFont="1" applyFill="1" applyBorder="1"/>
    <xf numFmtId="0" fontId="6" fillId="15" borderId="2" xfId="0" applyFont="1" applyFill="1" applyBorder="1" applyAlignment="1">
      <alignment wrapText="1"/>
    </xf>
    <xf numFmtId="3" fontId="5" fillId="15" borderId="1" xfId="0" applyNumberFormat="1" applyFont="1" applyFill="1" applyBorder="1" applyAlignment="1">
      <alignment horizontal="center"/>
    </xf>
    <xf numFmtId="9" fontId="5" fillId="15" borderId="1" xfId="4" applyFont="1" applyFill="1" applyBorder="1" applyAlignment="1" applyProtection="1">
      <alignment horizontal="center"/>
    </xf>
    <xf numFmtId="167" fontId="5" fillId="15" borderId="1" xfId="2" applyFont="1" applyFill="1" applyBorder="1"/>
    <xf numFmtId="174" fontId="5" fillId="15" borderId="3" xfId="0" applyNumberFormat="1" applyFont="1" applyFill="1" applyBorder="1" applyAlignment="1">
      <alignment horizontal="center" vertical="center"/>
    </xf>
    <xf numFmtId="171" fontId="5" fillId="15" borderId="1" xfId="0" applyNumberFormat="1" applyFont="1" applyFill="1" applyBorder="1"/>
    <xf numFmtId="173" fontId="5" fillId="15" borderId="1" xfId="0" applyNumberFormat="1" applyFont="1" applyFill="1" applyBorder="1"/>
    <xf numFmtId="171" fontId="6" fillId="15" borderId="1" xfId="0" applyNumberFormat="1" applyFont="1" applyFill="1" applyBorder="1"/>
    <xf numFmtId="173" fontId="6" fillId="15" borderId="1" xfId="0" applyNumberFormat="1" applyFont="1" applyFill="1" applyBorder="1"/>
    <xf numFmtId="0" fontId="5" fillId="15" borderId="1" xfId="0" applyFont="1" applyFill="1" applyBorder="1"/>
    <xf numFmtId="0" fontId="5" fillId="15" borderId="2" xfId="0" applyFont="1" applyFill="1" applyBorder="1" applyAlignment="1">
      <alignment horizontal="center" wrapText="1"/>
    </xf>
    <xf numFmtId="170" fontId="5" fillId="15" borderId="3" xfId="0" applyNumberFormat="1" applyFont="1" applyFill="1" applyBorder="1"/>
    <xf numFmtId="170" fontId="5" fillId="15" borderId="4" xfId="0" applyNumberFormat="1" applyFont="1" applyFill="1" applyBorder="1"/>
    <xf numFmtId="170" fontId="5" fillId="15" borderId="14" xfId="0" applyNumberFormat="1" applyFont="1" applyFill="1" applyBorder="1"/>
    <xf numFmtId="0" fontId="6" fillId="15" borderId="2" xfId="0" applyFont="1" applyFill="1" applyBorder="1"/>
    <xf numFmtId="0" fontId="5" fillId="15" borderId="5" xfId="0" applyFont="1" applyFill="1" applyBorder="1"/>
    <xf numFmtId="0" fontId="5" fillId="15" borderId="3" xfId="0" applyFont="1" applyFill="1" applyBorder="1"/>
    <xf numFmtId="10" fontId="5" fillId="15" borderId="1" xfId="4" applyNumberFormat="1" applyFont="1" applyFill="1" applyBorder="1" applyProtection="1"/>
    <xf numFmtId="0" fontId="6" fillId="16" borderId="1" xfId="0" applyFont="1" applyFill="1" applyBorder="1" applyAlignment="1">
      <alignment horizontal="center"/>
    </xf>
    <xf numFmtId="170" fontId="5" fillId="16" borderId="3" xfId="0" applyNumberFormat="1" applyFont="1" applyFill="1" applyBorder="1"/>
    <xf numFmtId="164" fontId="6" fillId="16" borderId="3" xfId="0" applyNumberFormat="1" applyFont="1" applyFill="1" applyBorder="1"/>
    <xf numFmtId="10" fontId="5" fillId="16" borderId="1" xfId="4" applyNumberFormat="1" applyFont="1" applyFill="1" applyBorder="1" applyProtection="1"/>
    <xf numFmtId="0" fontId="15" fillId="0" borderId="0" xfId="0" applyFont="1"/>
    <xf numFmtId="0" fontId="6" fillId="16" borderId="1" xfId="0" applyFont="1" applyFill="1" applyBorder="1"/>
    <xf numFmtId="164" fontId="6" fillId="16" borderId="1" xfId="0" applyNumberFormat="1" applyFont="1" applyFill="1" applyBorder="1"/>
    <xf numFmtId="171" fontId="5" fillId="16" borderId="1" xfId="0" applyNumberFormat="1" applyFont="1" applyFill="1" applyBorder="1"/>
    <xf numFmtId="0" fontId="6" fillId="12" borderId="7" xfId="0" applyFont="1" applyFill="1" applyBorder="1" applyAlignment="1">
      <alignment horizontal="center"/>
    </xf>
    <xf numFmtId="3" fontId="6" fillId="12" borderId="13" xfId="0" applyNumberFormat="1" applyFont="1" applyFill="1" applyBorder="1" applyAlignment="1">
      <alignment horizontal="center"/>
    </xf>
    <xf numFmtId="3" fontId="6" fillId="10" borderId="1" xfId="0" applyNumberFormat="1" applyFont="1" applyFill="1" applyBorder="1" applyAlignment="1">
      <alignment horizontal="center"/>
    </xf>
    <xf numFmtId="3" fontId="6" fillId="12" borderId="8" xfId="0" applyNumberFormat="1" applyFont="1" applyFill="1" applyBorder="1" applyAlignment="1">
      <alignment horizontal="center"/>
    </xf>
    <xf numFmtId="0" fontId="6" fillId="12" borderId="3" xfId="0" applyFont="1" applyFill="1" applyBorder="1" applyAlignment="1">
      <alignment horizontal="left"/>
    </xf>
    <xf numFmtId="170" fontId="6" fillId="12" borderId="1" xfId="0" applyNumberFormat="1" applyFont="1" applyFill="1" applyBorder="1"/>
    <xf numFmtId="0" fontId="6" fillId="12" borderId="2" xfId="0" applyFont="1" applyFill="1" applyBorder="1"/>
    <xf numFmtId="0" fontId="5" fillId="12" borderId="5" xfId="0" applyFont="1" applyFill="1" applyBorder="1" applyAlignment="1">
      <alignment horizontal="center"/>
    </xf>
    <xf numFmtId="170" fontId="6" fillId="12" borderId="3" xfId="0" applyNumberFormat="1" applyFont="1" applyFill="1" applyBorder="1"/>
    <xf numFmtId="0" fontId="5" fillId="12" borderId="5" xfId="0" applyFont="1" applyFill="1" applyBorder="1"/>
    <xf numFmtId="0" fontId="6" fillId="12" borderId="2" xfId="0" applyFont="1" applyFill="1" applyBorder="1" applyAlignment="1">
      <alignment horizontal="justify" wrapText="1"/>
    </xf>
    <xf numFmtId="0" fontId="5" fillId="12" borderId="3" xfId="0" applyFont="1" applyFill="1" applyBorder="1"/>
    <xf numFmtId="0" fontId="6" fillId="12" borderId="5" xfId="0" applyFont="1" applyFill="1" applyBorder="1"/>
    <xf numFmtId="0" fontId="6" fillId="12" borderId="3" xfId="0" applyFont="1" applyFill="1" applyBorder="1"/>
    <xf numFmtId="0" fontId="6" fillId="12" borderId="1" xfId="0" applyFont="1" applyFill="1" applyBorder="1" applyAlignment="1">
      <alignment horizontal="left"/>
    </xf>
    <xf numFmtId="0" fontId="12" fillId="12" borderId="2" xfId="0" applyFont="1" applyFill="1" applyBorder="1"/>
    <xf numFmtId="0" fontId="12" fillId="12" borderId="5" xfId="0" applyFont="1" applyFill="1" applyBorder="1"/>
    <xf numFmtId="0" fontId="12" fillId="12" borderId="3" xfId="0" applyFont="1" applyFill="1" applyBorder="1"/>
    <xf numFmtId="3" fontId="13" fillId="12" borderId="3" xfId="0" applyNumberFormat="1" applyFont="1" applyFill="1" applyBorder="1" applyAlignment="1">
      <alignment horizontal="center"/>
    </xf>
    <xf numFmtId="170" fontId="5" fillId="12" borderId="1" xfId="0" applyNumberFormat="1" applyFont="1" applyFill="1" applyBorder="1"/>
    <xf numFmtId="0" fontId="13" fillId="12" borderId="5" xfId="0" applyFont="1" applyFill="1" applyBorder="1" applyAlignment="1">
      <alignment horizontal="center"/>
    </xf>
    <xf numFmtId="3" fontId="13" fillId="12" borderId="5" xfId="0" applyNumberFormat="1" applyFont="1" applyFill="1" applyBorder="1" applyAlignment="1">
      <alignment horizontal="center"/>
    </xf>
    <xf numFmtId="0" fontId="6" fillId="12" borderId="5" xfId="0" applyFont="1" applyFill="1" applyBorder="1" applyAlignment="1">
      <alignment horizontal="center"/>
    </xf>
    <xf numFmtId="165" fontId="6" fillId="12" borderId="1" xfId="0" applyNumberFormat="1" applyFont="1" applyFill="1" applyBorder="1"/>
    <xf numFmtId="0" fontId="6" fillId="12" borderId="12" xfId="0" applyFont="1" applyFill="1" applyBorder="1"/>
    <xf numFmtId="0" fontId="6" fillId="12" borderId="0" xfId="0" applyFont="1" applyFill="1" applyAlignment="1">
      <alignment horizontal="center"/>
    </xf>
    <xf numFmtId="170" fontId="6" fillId="12" borderId="14" xfId="0" applyNumberFormat="1" applyFont="1" applyFill="1" applyBorder="1"/>
    <xf numFmtId="170" fontId="6" fillId="12" borderId="13" xfId="0" applyNumberFormat="1" applyFont="1" applyFill="1" applyBorder="1"/>
    <xf numFmtId="0" fontId="6" fillId="12" borderId="10" xfId="0" applyFont="1" applyFill="1" applyBorder="1" applyAlignment="1">
      <alignment horizontal="center"/>
    </xf>
    <xf numFmtId="3" fontId="6" fillId="12" borderId="12" xfId="0" applyNumberFormat="1" applyFont="1" applyFill="1" applyBorder="1" applyAlignment="1">
      <alignment horizontal="center"/>
    </xf>
    <xf numFmtId="3" fontId="6" fillId="12" borderId="6" xfId="0" applyNumberFormat="1" applyFont="1" applyFill="1" applyBorder="1" applyAlignment="1">
      <alignment horizontal="center"/>
    </xf>
    <xf numFmtId="3" fontId="6" fillId="12" borderId="14" xfId="0" applyNumberFormat="1" applyFont="1" applyFill="1" applyBorder="1" applyAlignment="1">
      <alignment horizontal="center"/>
    </xf>
    <xf numFmtId="2" fontId="6" fillId="12" borderId="9" xfId="0" applyNumberFormat="1" applyFont="1" applyFill="1" applyBorder="1" applyAlignment="1">
      <alignment horizontal="center"/>
    </xf>
    <xf numFmtId="2" fontId="6" fillId="12" borderId="7" xfId="0" applyNumberFormat="1" applyFont="1" applyFill="1" applyBorder="1" applyAlignment="1">
      <alignment horizontal="center"/>
    </xf>
    <xf numFmtId="2" fontId="6" fillId="12" borderId="10" xfId="0" applyNumberFormat="1" applyFont="1" applyFill="1" applyBorder="1" applyAlignment="1">
      <alignment horizontal="center"/>
    </xf>
    <xf numFmtId="2" fontId="6" fillId="12" borderId="4" xfId="0" applyNumberFormat="1" applyFont="1" applyFill="1" applyBorder="1" applyAlignment="1">
      <alignment horizontal="center"/>
    </xf>
    <xf numFmtId="1" fontId="6" fillId="12" borderId="12" xfId="0" applyNumberFormat="1" applyFont="1" applyFill="1" applyBorder="1" applyAlignment="1">
      <alignment horizontal="center"/>
    </xf>
    <xf numFmtId="1" fontId="6" fillId="12" borderId="13" xfId="0" applyNumberFormat="1" applyFont="1" applyFill="1" applyBorder="1" applyAlignment="1">
      <alignment horizontal="center"/>
    </xf>
    <xf numFmtId="1" fontId="6" fillId="12" borderId="6" xfId="0" applyNumberFormat="1" applyFont="1" applyFill="1" applyBorder="1" applyAlignment="1">
      <alignment horizontal="center"/>
    </xf>
    <xf numFmtId="1" fontId="6" fillId="12" borderId="14" xfId="0" applyNumberFormat="1" applyFont="1" applyFill="1" applyBorder="1" applyAlignment="1">
      <alignment horizontal="center"/>
    </xf>
    <xf numFmtId="1" fontId="6" fillId="12" borderId="9" xfId="0" applyNumberFormat="1" applyFont="1" applyFill="1" applyBorder="1" applyAlignment="1">
      <alignment horizontal="center"/>
    </xf>
    <xf numFmtId="1" fontId="6" fillId="12" borderId="7" xfId="0" applyNumberFormat="1" applyFont="1" applyFill="1" applyBorder="1" applyAlignment="1">
      <alignment horizontal="center"/>
    </xf>
    <xf numFmtId="1" fontId="6" fillId="12" borderId="10" xfId="0" applyNumberFormat="1" applyFont="1" applyFill="1" applyBorder="1" applyAlignment="1">
      <alignment horizontal="center"/>
    </xf>
    <xf numFmtId="1" fontId="6" fillId="12" borderId="4" xfId="0" applyNumberFormat="1" applyFont="1" applyFill="1" applyBorder="1" applyAlignment="1">
      <alignment horizontal="center"/>
    </xf>
    <xf numFmtId="2" fontId="5" fillId="13" borderId="13" xfId="0" applyNumberFormat="1" applyFont="1" applyFill="1" applyBorder="1" applyAlignment="1">
      <alignment horizontal="center"/>
    </xf>
    <xf numFmtId="170" fontId="5" fillId="13" borderId="13" xfId="0" applyNumberFormat="1" applyFont="1" applyFill="1" applyBorder="1"/>
    <xf numFmtId="10" fontId="5" fillId="13" borderId="13" xfId="4" applyNumberFormat="1" applyFont="1" applyFill="1" applyBorder="1" applyAlignment="1" applyProtection="1">
      <alignment horizontal="center"/>
    </xf>
    <xf numFmtId="2" fontId="5" fillId="13" borderId="13" xfId="4" applyNumberFormat="1" applyFont="1" applyFill="1" applyBorder="1" applyAlignment="1" applyProtection="1">
      <alignment horizontal="center"/>
    </xf>
    <xf numFmtId="10" fontId="5" fillId="13" borderId="12" xfId="4" applyNumberFormat="1" applyFont="1" applyFill="1" applyBorder="1" applyAlignment="1" applyProtection="1">
      <alignment horizontal="center"/>
    </xf>
    <xf numFmtId="0" fontId="6" fillId="13" borderId="0" xfId="0" applyFont="1" applyFill="1"/>
    <xf numFmtId="0" fontId="0" fillId="9" borderId="3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6" fillId="12" borderId="7" xfId="0" applyFont="1" applyFill="1" applyBorder="1" applyAlignment="1">
      <alignment horizontal="center" vertical="center"/>
    </xf>
    <xf numFmtId="0" fontId="6" fillId="12" borderId="13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13" borderId="1" xfId="0" applyFont="1" applyFill="1" applyBorder="1" applyAlignment="1">
      <alignment horizontal="center"/>
    </xf>
    <xf numFmtId="0" fontId="6" fillId="12" borderId="9" xfId="0" applyFont="1" applyFill="1" applyBorder="1" applyAlignment="1">
      <alignment horizontal="center"/>
    </xf>
    <xf numFmtId="0" fontId="6" fillId="12" borderId="4" xfId="0" applyFont="1" applyFill="1" applyBorder="1" applyAlignment="1">
      <alignment horizontal="center"/>
    </xf>
    <xf numFmtId="0" fontId="6" fillId="12" borderId="9" xfId="0" applyFont="1" applyFill="1" applyBorder="1" applyAlignment="1">
      <alignment horizontal="center" vertical="top" wrapText="1"/>
    </xf>
    <xf numFmtId="0" fontId="6" fillId="12" borderId="10" xfId="0" applyFont="1" applyFill="1" applyBorder="1" applyAlignment="1">
      <alignment horizontal="center" vertical="top" wrapText="1"/>
    </xf>
    <xf numFmtId="0" fontId="6" fillId="13" borderId="2" xfId="0" applyFont="1" applyFill="1" applyBorder="1" applyAlignment="1">
      <alignment horizontal="center" vertical="top" wrapText="1"/>
    </xf>
    <xf numFmtId="0" fontId="6" fillId="13" borderId="5" xfId="0" applyFont="1" applyFill="1" applyBorder="1" applyAlignment="1">
      <alignment horizontal="center" vertical="top" wrapText="1"/>
    </xf>
    <xf numFmtId="0" fontId="6" fillId="13" borderId="1" xfId="0" applyFont="1" applyFill="1" applyBorder="1" applyAlignment="1">
      <alignment horizontal="center" vertical="top" wrapText="1"/>
    </xf>
    <xf numFmtId="0" fontId="6" fillId="12" borderId="2" xfId="0" applyFont="1" applyFill="1" applyBorder="1" applyAlignment="1">
      <alignment horizontal="center" vertical="top" wrapText="1"/>
    </xf>
    <xf numFmtId="0" fontId="6" fillId="12" borderId="5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6" fillId="14" borderId="9" xfId="0" applyFont="1" applyFill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/>
    </xf>
    <xf numFmtId="0" fontId="6" fillId="14" borderId="2" xfId="0" applyFont="1" applyFill="1" applyBorder="1" applyAlignment="1">
      <alignment horizontal="center" wrapText="1"/>
    </xf>
    <xf numFmtId="0" fontId="6" fillId="14" borderId="3" xfId="0" applyFont="1" applyFill="1" applyBorder="1" applyAlignment="1">
      <alignment horizontal="center" wrapText="1"/>
    </xf>
    <xf numFmtId="0" fontId="6" fillId="14" borderId="9" xfId="0" applyFont="1" applyFill="1" applyBorder="1" applyAlignment="1">
      <alignment horizontal="center" wrapText="1"/>
    </xf>
    <xf numFmtId="0" fontId="6" fillId="14" borderId="12" xfId="0" applyFont="1" applyFill="1" applyBorder="1" applyAlignment="1">
      <alignment horizontal="center" wrapText="1"/>
    </xf>
    <xf numFmtId="0" fontId="6" fillId="15" borderId="2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/>
    </xf>
    <xf numFmtId="0" fontId="6" fillId="14" borderId="7" xfId="0" applyFont="1" applyFill="1" applyBorder="1" applyAlignment="1">
      <alignment horizontal="center" wrapText="1"/>
    </xf>
    <xf numFmtId="0" fontId="5" fillId="14" borderId="13" xfId="0" applyFont="1" applyFill="1" applyBorder="1"/>
    <xf numFmtId="0" fontId="6" fillId="14" borderId="10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center" vertical="center" wrapText="1"/>
    </xf>
    <xf numFmtId="0" fontId="6" fillId="14" borderId="0" xfId="0" applyFont="1" applyFill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0" fontId="6" fillId="14" borderId="2" xfId="0" applyFont="1" applyFill="1" applyBorder="1" applyAlignment="1">
      <alignment horizontal="center" vertical="top" wrapText="1"/>
    </xf>
    <xf numFmtId="0" fontId="6" fillId="14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14" borderId="1" xfId="0" applyFont="1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11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11" borderId="7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171" fontId="5" fillId="13" borderId="1" xfId="0" applyNumberFormat="1" applyFont="1" applyFill="1" applyBorder="1" applyAlignment="1">
      <alignment horizontal="center"/>
    </xf>
    <xf numFmtId="0" fontId="6" fillId="12" borderId="9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170" fontId="6" fillId="13" borderId="2" xfId="0" applyNumberFormat="1" applyFont="1" applyFill="1" applyBorder="1"/>
    <xf numFmtId="0" fontId="0" fillId="13" borderId="3" xfId="0" applyFill="1" applyBorder="1"/>
    <xf numFmtId="0" fontId="6" fillId="12" borderId="2" xfId="0" applyFont="1" applyFill="1" applyBorder="1" applyAlignment="1">
      <alignment horizontal="left"/>
    </xf>
    <xf numFmtId="0" fontId="6" fillId="12" borderId="5" xfId="0" applyFont="1" applyFill="1" applyBorder="1" applyAlignment="1">
      <alignment horizontal="left"/>
    </xf>
    <xf numFmtId="0" fontId="6" fillId="12" borderId="3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12" fillId="12" borderId="2" xfId="0" applyFont="1" applyFill="1" applyBorder="1" applyAlignment="1">
      <alignment horizontal="left"/>
    </xf>
    <xf numFmtId="0" fontId="12" fillId="12" borderId="5" xfId="0" applyFont="1" applyFill="1" applyBorder="1" applyAlignment="1">
      <alignment horizontal="left"/>
    </xf>
    <xf numFmtId="0" fontId="12" fillId="12" borderId="3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1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6" fillId="8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</cellXfs>
  <cellStyles count="5">
    <cellStyle name="Euro" xfId="1" xr:uid="{00000000-0005-0000-0000-000000000000}"/>
    <cellStyle name="Moneda" xfId="2" builtinId="4"/>
    <cellStyle name="Moneda 2" xfId="3" xr:uid="{00000000-0005-0000-0000-000002000000}"/>
    <cellStyle name="Normal" xfId="0" builtinId="0"/>
    <cellStyle name="Porcentaje" xfId="4" builtinId="5"/>
  </cellStyles>
  <dxfs count="0"/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836148</xdr:colOff>
      <xdr:row>247</xdr:row>
      <xdr:rowOff>121920</xdr:rowOff>
    </xdr:from>
    <xdr:to>
      <xdr:col>7</xdr:col>
      <xdr:colOff>703816</xdr:colOff>
      <xdr:row>250</xdr:row>
      <xdr:rowOff>11694</xdr:rowOff>
    </xdr:to>
    <xdr:cxnSp macro="">
      <xdr:nvCxnSpPr>
        <xdr:cNvPr id="10" name="9 Conector recto de flecha">
          <a:extLst>
            <a:ext uri="{FF2B5EF4-FFF2-40B4-BE49-F238E27FC236}">
              <a16:creationId xmlns:a16="http://schemas.microsoft.com/office/drawing/2014/main" id="{D970B3AB-66FB-8F00-64CE-66EFC73783AD}"/>
            </a:ext>
          </a:extLst>
        </xdr:cNvPr>
        <xdr:cNvCxnSpPr/>
      </xdr:nvCxnSpPr>
      <xdr:spPr>
        <a:xfrm flipV="1">
          <a:off x="4286250" y="33832800"/>
          <a:ext cx="2409825" cy="3810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41"/>
  <sheetViews>
    <sheetView showGridLines="0" tabSelected="1" zoomScale="90" zoomScaleNormal="90" workbookViewId="0">
      <selection activeCell="F5" sqref="F5"/>
    </sheetView>
  </sheetViews>
  <sheetFormatPr baseColWidth="10" defaultColWidth="11.44140625" defaultRowHeight="13.2" x14ac:dyDescent="0.25"/>
  <cols>
    <col min="1" max="1" width="11.5546875" style="4" customWidth="1"/>
    <col min="2" max="2" width="41.44140625" style="4" customWidth="1"/>
    <col min="3" max="3" width="14" style="4" customWidth="1"/>
    <col min="4" max="4" width="21.33203125" style="4" customWidth="1"/>
    <col min="5" max="5" width="19.109375" style="4" customWidth="1"/>
    <col min="6" max="6" width="11.44140625" style="4"/>
    <col min="7" max="7" width="19.6640625" style="4" customWidth="1"/>
    <col min="8" max="8" width="13.88671875" style="4" bestFit="1" customWidth="1"/>
    <col min="9" max="9" width="12.88671875" style="4" bestFit="1" customWidth="1"/>
    <col min="10" max="16384" width="11.44140625" style="4"/>
  </cols>
  <sheetData>
    <row r="1" spans="1:7" ht="17.399999999999999" x14ac:dyDescent="0.3">
      <c r="B1" s="255" t="s">
        <v>408</v>
      </c>
    </row>
    <row r="3" spans="1:7" x14ac:dyDescent="0.25">
      <c r="B3" s="5" t="s">
        <v>297</v>
      </c>
    </row>
    <row r="4" spans="1:7" x14ac:dyDescent="0.25">
      <c r="B4" s="349" t="s">
        <v>4</v>
      </c>
      <c r="C4" s="349"/>
      <c r="D4" s="349"/>
      <c r="E4" s="218" t="s">
        <v>22</v>
      </c>
    </row>
    <row r="5" spans="1:7" ht="21" x14ac:dyDescent="0.4">
      <c r="A5" s="5" t="s">
        <v>287</v>
      </c>
      <c r="B5" s="356" t="s">
        <v>250</v>
      </c>
      <c r="C5" s="357"/>
      <c r="D5" s="358"/>
      <c r="E5" s="16">
        <v>0</v>
      </c>
      <c r="G5" s="256"/>
    </row>
    <row r="6" spans="1:7" x14ac:dyDescent="0.25">
      <c r="B6" s="359" t="s">
        <v>2</v>
      </c>
      <c r="C6" s="359"/>
      <c r="D6" s="359"/>
      <c r="E6" s="226">
        <f>SUM(E5:E5)</f>
        <v>0</v>
      </c>
    </row>
    <row r="9" spans="1:7" x14ac:dyDescent="0.25">
      <c r="A9" s="5" t="s">
        <v>225</v>
      </c>
      <c r="B9" s="5" t="s">
        <v>231</v>
      </c>
    </row>
    <row r="10" spans="1:7" x14ac:dyDescent="0.25">
      <c r="B10" s="349" t="s">
        <v>4</v>
      </c>
      <c r="C10" s="349"/>
      <c r="D10" s="349"/>
      <c r="E10" s="218" t="s">
        <v>22</v>
      </c>
    </row>
    <row r="11" spans="1:7" x14ac:dyDescent="0.25">
      <c r="B11" s="369" t="s">
        <v>203</v>
      </c>
      <c r="C11" s="369"/>
      <c r="D11" s="369"/>
      <c r="E11" s="16"/>
      <c r="F11" s="212"/>
    </row>
    <row r="12" spans="1:7" x14ac:dyDescent="0.25">
      <c r="B12" s="359" t="s">
        <v>2</v>
      </c>
      <c r="C12" s="359"/>
      <c r="D12" s="359"/>
      <c r="E12" s="226">
        <f>SUM(E11:E11)</f>
        <v>0</v>
      </c>
    </row>
    <row r="15" spans="1:7" x14ac:dyDescent="0.25">
      <c r="A15" s="5" t="s">
        <v>226</v>
      </c>
      <c r="B15" s="5" t="s">
        <v>23</v>
      </c>
    </row>
    <row r="16" spans="1:7" x14ac:dyDescent="0.25">
      <c r="B16" s="219" t="s">
        <v>0</v>
      </c>
      <c r="C16" s="220" t="s">
        <v>1</v>
      </c>
      <c r="D16" s="221" t="s">
        <v>18</v>
      </c>
      <c r="E16" s="221" t="s">
        <v>19</v>
      </c>
    </row>
    <row r="17" spans="1:8" ht="13.2" customHeight="1" x14ac:dyDescent="0.25">
      <c r="B17" s="214" t="s">
        <v>400</v>
      </c>
      <c r="C17" s="254">
        <v>1</v>
      </c>
      <c r="D17" s="175">
        <v>16000000</v>
      </c>
      <c r="E17" s="227">
        <f t="shared" ref="E17:E28" si="0">C17*D17</f>
        <v>16000000</v>
      </c>
    </row>
    <row r="18" spans="1:8" x14ac:dyDescent="0.25">
      <c r="B18" s="214" t="s">
        <v>356</v>
      </c>
      <c r="C18" s="254">
        <v>2</v>
      </c>
      <c r="D18" s="175">
        <v>5000000</v>
      </c>
      <c r="E18" s="227">
        <f t="shared" si="0"/>
        <v>10000000</v>
      </c>
    </row>
    <row r="19" spans="1:8" x14ac:dyDescent="0.25">
      <c r="B19" s="214" t="s">
        <v>357</v>
      </c>
      <c r="C19" s="254">
        <v>1</v>
      </c>
      <c r="D19" s="175">
        <v>15000000</v>
      </c>
      <c r="E19" s="227">
        <f t="shared" si="0"/>
        <v>15000000</v>
      </c>
    </row>
    <row r="20" spans="1:8" x14ac:dyDescent="0.25">
      <c r="B20" s="214" t="s">
        <v>358</v>
      </c>
      <c r="C20" s="254">
        <v>2</v>
      </c>
      <c r="D20" s="175">
        <v>7400000</v>
      </c>
      <c r="E20" s="227">
        <f t="shared" si="0"/>
        <v>14800000</v>
      </c>
    </row>
    <row r="21" spans="1:8" x14ac:dyDescent="0.25">
      <c r="B21" s="214" t="s">
        <v>398</v>
      </c>
      <c r="C21" s="254">
        <v>3</v>
      </c>
      <c r="D21" s="175">
        <v>4200000</v>
      </c>
      <c r="E21" s="227">
        <f t="shared" si="0"/>
        <v>12600000</v>
      </c>
    </row>
    <row r="22" spans="1:8" x14ac:dyDescent="0.25">
      <c r="B22" s="214" t="s">
        <v>396</v>
      </c>
      <c r="C22" s="254">
        <v>1</v>
      </c>
      <c r="D22" s="175">
        <v>28000000</v>
      </c>
      <c r="E22" s="227">
        <f t="shared" si="0"/>
        <v>28000000</v>
      </c>
    </row>
    <row r="23" spans="1:8" x14ac:dyDescent="0.25">
      <c r="B23" s="214" t="s">
        <v>395</v>
      </c>
      <c r="C23" s="254">
        <v>1</v>
      </c>
      <c r="D23" s="175">
        <v>5000000</v>
      </c>
      <c r="E23" s="227">
        <f t="shared" si="0"/>
        <v>5000000</v>
      </c>
    </row>
    <row r="24" spans="1:8" x14ac:dyDescent="0.25">
      <c r="B24" s="214" t="s">
        <v>359</v>
      </c>
      <c r="C24" s="254">
        <v>1</v>
      </c>
      <c r="D24" s="175">
        <v>4800000</v>
      </c>
      <c r="E24" s="227">
        <f t="shared" si="0"/>
        <v>4800000</v>
      </c>
    </row>
    <row r="25" spans="1:8" x14ac:dyDescent="0.25">
      <c r="B25" s="214" t="s">
        <v>360</v>
      </c>
      <c r="C25" s="254">
        <v>1</v>
      </c>
      <c r="D25" s="175">
        <v>13000000</v>
      </c>
      <c r="E25" s="227">
        <f t="shared" si="0"/>
        <v>13000000</v>
      </c>
      <c r="H25" s="6"/>
    </row>
    <row r="26" spans="1:8" x14ac:dyDescent="0.25">
      <c r="B26" s="214" t="s">
        <v>363</v>
      </c>
      <c r="C26" s="254">
        <v>2</v>
      </c>
      <c r="D26" s="175">
        <v>4500000</v>
      </c>
      <c r="E26" s="227">
        <f t="shared" si="0"/>
        <v>9000000</v>
      </c>
    </row>
    <row r="27" spans="1:8" x14ac:dyDescent="0.25">
      <c r="B27" s="214" t="s">
        <v>361</v>
      </c>
      <c r="C27" s="254">
        <v>1</v>
      </c>
      <c r="D27" s="175">
        <v>3900000</v>
      </c>
      <c r="E27" s="227">
        <f t="shared" si="0"/>
        <v>3900000</v>
      </c>
    </row>
    <row r="28" spans="1:8" x14ac:dyDescent="0.25">
      <c r="B28" s="214" t="s">
        <v>362</v>
      </c>
      <c r="C28" s="254">
        <v>1</v>
      </c>
      <c r="D28" s="104">
        <v>1800000</v>
      </c>
      <c r="E28" s="227">
        <f t="shared" si="0"/>
        <v>1800000</v>
      </c>
    </row>
    <row r="29" spans="1:8" x14ac:dyDescent="0.25">
      <c r="B29" s="228" t="s">
        <v>2</v>
      </c>
      <c r="C29" s="229"/>
      <c r="D29" s="230"/>
      <c r="E29" s="226">
        <f>SUM(E17:E28)</f>
        <v>133900000</v>
      </c>
    </row>
    <row r="32" spans="1:8" x14ac:dyDescent="0.25">
      <c r="A32" s="5" t="s">
        <v>227</v>
      </c>
      <c r="B32" s="5" t="s">
        <v>3</v>
      </c>
    </row>
    <row r="33" spans="2:9" x14ac:dyDescent="0.25">
      <c r="B33" s="219" t="s">
        <v>0</v>
      </c>
      <c r="C33" s="220" t="s">
        <v>1</v>
      </c>
      <c r="D33" s="221" t="s">
        <v>18</v>
      </c>
      <c r="E33" s="221" t="s">
        <v>19</v>
      </c>
    </row>
    <row r="34" spans="2:9" x14ac:dyDescent="0.25">
      <c r="B34" s="214" t="s">
        <v>364</v>
      </c>
      <c r="C34" s="176">
        <v>68</v>
      </c>
      <c r="D34" s="175">
        <v>260000</v>
      </c>
      <c r="E34" s="227">
        <f t="shared" ref="E34:E46" si="1">D34*C34</f>
        <v>17680000</v>
      </c>
    </row>
    <row r="35" spans="2:9" x14ac:dyDescent="0.25">
      <c r="B35" s="215" t="s">
        <v>365</v>
      </c>
      <c r="C35" s="176">
        <v>27</v>
      </c>
      <c r="D35" s="175">
        <v>400000</v>
      </c>
      <c r="E35" s="227">
        <f t="shared" si="1"/>
        <v>10800000</v>
      </c>
    </row>
    <row r="36" spans="2:9" x14ac:dyDescent="0.25">
      <c r="B36" s="215" t="s">
        <v>366</v>
      </c>
      <c r="C36" s="176">
        <v>20</v>
      </c>
      <c r="D36" s="175">
        <v>350000</v>
      </c>
      <c r="E36" s="227">
        <f t="shared" si="1"/>
        <v>7000000</v>
      </c>
    </row>
    <row r="37" spans="2:9" x14ac:dyDescent="0.25">
      <c r="B37" s="216" t="s">
        <v>367</v>
      </c>
      <c r="C37" s="178">
        <v>4</v>
      </c>
      <c r="D37" s="175">
        <v>280000</v>
      </c>
      <c r="E37" s="227">
        <f t="shared" si="1"/>
        <v>1120000</v>
      </c>
    </row>
    <row r="38" spans="2:9" x14ac:dyDescent="0.25">
      <c r="B38" s="216" t="s">
        <v>369</v>
      </c>
      <c r="C38" s="178">
        <v>1</v>
      </c>
      <c r="D38" s="175">
        <v>290000</v>
      </c>
      <c r="E38" s="227">
        <f t="shared" si="1"/>
        <v>290000</v>
      </c>
    </row>
    <row r="39" spans="2:9" x14ac:dyDescent="0.25">
      <c r="B39" s="216" t="s">
        <v>368</v>
      </c>
      <c r="C39" s="178">
        <v>1</v>
      </c>
      <c r="D39" s="175">
        <v>1000000</v>
      </c>
      <c r="E39" s="227">
        <f t="shared" si="1"/>
        <v>1000000</v>
      </c>
      <c r="I39" s="6"/>
    </row>
    <row r="40" spans="2:9" x14ac:dyDescent="0.25">
      <c r="B40" s="216" t="s">
        <v>370</v>
      </c>
      <c r="C40" s="178">
        <v>1</v>
      </c>
      <c r="D40" s="175">
        <v>2800000</v>
      </c>
      <c r="E40" s="227">
        <f t="shared" si="1"/>
        <v>2800000</v>
      </c>
      <c r="I40" s="6"/>
    </row>
    <row r="41" spans="2:9" x14ac:dyDescent="0.25">
      <c r="B41" s="214" t="s">
        <v>377</v>
      </c>
      <c r="C41" s="176">
        <v>1</v>
      </c>
      <c r="D41" s="104">
        <v>1200000</v>
      </c>
      <c r="E41" s="227">
        <f t="shared" si="1"/>
        <v>1200000</v>
      </c>
    </row>
    <row r="42" spans="2:9" x14ac:dyDescent="0.25">
      <c r="B42" s="214" t="s">
        <v>378</v>
      </c>
      <c r="C42" s="217">
        <v>4</v>
      </c>
      <c r="D42" s="257">
        <v>600000</v>
      </c>
      <c r="E42" s="227">
        <f>D42*C42</f>
        <v>2400000</v>
      </c>
    </row>
    <row r="43" spans="2:9" ht="13.5" customHeight="1" x14ac:dyDescent="0.25">
      <c r="B43" s="214" t="s">
        <v>380</v>
      </c>
      <c r="C43" s="176">
        <v>1</v>
      </c>
      <c r="D43" s="104">
        <v>700000</v>
      </c>
      <c r="E43" s="227">
        <f t="shared" si="1"/>
        <v>700000</v>
      </c>
    </row>
    <row r="44" spans="2:9" ht="14.25" customHeight="1" x14ac:dyDescent="0.25">
      <c r="B44" s="216"/>
      <c r="C44" s="176"/>
      <c r="D44" s="175"/>
      <c r="E44" s="227">
        <f t="shared" si="1"/>
        <v>0</v>
      </c>
    </row>
    <row r="45" spans="2:9" ht="13.5" customHeight="1" x14ac:dyDescent="0.25">
      <c r="B45" s="14"/>
      <c r="C45" s="176"/>
      <c r="D45" s="104"/>
      <c r="E45" s="227">
        <f t="shared" si="1"/>
        <v>0</v>
      </c>
    </row>
    <row r="46" spans="2:9" ht="13.5" customHeight="1" x14ac:dyDescent="0.25">
      <c r="B46" s="14"/>
      <c r="C46" s="176"/>
      <c r="D46" s="104"/>
      <c r="E46" s="227">
        <f t="shared" si="1"/>
        <v>0</v>
      </c>
    </row>
    <row r="47" spans="2:9" x14ac:dyDescent="0.25">
      <c r="B47" s="228" t="s">
        <v>2</v>
      </c>
      <c r="C47" s="231"/>
      <c r="D47" s="230"/>
      <c r="E47" s="226">
        <f>SUM(E34:E46)</f>
        <v>44990000</v>
      </c>
      <c r="F47" s="6"/>
    </row>
    <row r="50" spans="1:8" x14ac:dyDescent="0.25">
      <c r="A50" s="5" t="s">
        <v>228</v>
      </c>
      <c r="B50" s="5" t="s">
        <v>10</v>
      </c>
    </row>
    <row r="51" spans="1:8" x14ac:dyDescent="0.25">
      <c r="B51" s="219" t="s">
        <v>0</v>
      </c>
      <c r="C51" s="222" t="s">
        <v>1</v>
      </c>
      <c r="D51" s="219" t="s">
        <v>20</v>
      </c>
      <c r="E51" s="219" t="s">
        <v>21</v>
      </c>
    </row>
    <row r="52" spans="1:8" x14ac:dyDescent="0.25">
      <c r="B52" s="179" t="s">
        <v>291</v>
      </c>
      <c r="C52" s="178">
        <v>2</v>
      </c>
      <c r="D52" s="175">
        <v>100000</v>
      </c>
      <c r="E52" s="227">
        <f t="shared" ref="E52:E60" si="2">D52*C52</f>
        <v>200000</v>
      </c>
    </row>
    <row r="53" spans="1:8" x14ac:dyDescent="0.25">
      <c r="B53" s="177" t="s">
        <v>292</v>
      </c>
      <c r="C53" s="178">
        <v>3</v>
      </c>
      <c r="D53" s="175">
        <v>5000000</v>
      </c>
      <c r="E53" s="227">
        <f t="shared" si="2"/>
        <v>15000000</v>
      </c>
    </row>
    <row r="54" spans="1:8" x14ac:dyDescent="0.25">
      <c r="B54" s="177" t="s">
        <v>293</v>
      </c>
      <c r="C54" s="178">
        <v>1</v>
      </c>
      <c r="D54" s="175">
        <v>4800000</v>
      </c>
      <c r="E54" s="227">
        <f t="shared" si="2"/>
        <v>4800000</v>
      </c>
    </row>
    <row r="55" spans="1:8" x14ac:dyDescent="0.25">
      <c r="B55" s="177" t="s">
        <v>294</v>
      </c>
      <c r="C55" s="178">
        <v>1</v>
      </c>
      <c r="D55" s="175">
        <v>500000</v>
      </c>
      <c r="E55" s="227">
        <f t="shared" si="2"/>
        <v>500000</v>
      </c>
      <c r="G55" s="6"/>
    </row>
    <row r="56" spans="1:8" x14ac:dyDescent="0.25">
      <c r="B56" s="177" t="s">
        <v>221</v>
      </c>
      <c r="C56" s="178">
        <v>3</v>
      </c>
      <c r="D56" s="175">
        <v>90000</v>
      </c>
      <c r="E56" s="227">
        <f t="shared" si="2"/>
        <v>270000</v>
      </c>
      <c r="G56" s="250"/>
    </row>
    <row r="57" spans="1:8" x14ac:dyDescent="0.25">
      <c r="B57" s="216" t="s">
        <v>379</v>
      </c>
      <c r="C57" s="178">
        <v>10</v>
      </c>
      <c r="D57" s="104">
        <v>1200000</v>
      </c>
      <c r="E57" s="227">
        <f t="shared" si="2"/>
        <v>12000000</v>
      </c>
    </row>
    <row r="58" spans="1:8" x14ac:dyDescent="0.25">
      <c r="B58" s="216" t="s">
        <v>381</v>
      </c>
      <c r="C58" s="178">
        <v>6</v>
      </c>
      <c r="D58" s="104">
        <v>2500000</v>
      </c>
      <c r="E58" s="227">
        <f t="shared" si="2"/>
        <v>15000000</v>
      </c>
      <c r="H58" s="4" t="s">
        <v>295</v>
      </c>
    </row>
    <row r="59" spans="1:8" x14ac:dyDescent="0.25">
      <c r="B59" s="174"/>
      <c r="C59" s="178"/>
      <c r="D59" s="104"/>
      <c r="E59" s="227">
        <f t="shared" si="2"/>
        <v>0</v>
      </c>
    </row>
    <row r="60" spans="1:8" x14ac:dyDescent="0.25">
      <c r="B60" s="177"/>
      <c r="C60" s="178"/>
      <c r="D60" s="104"/>
      <c r="E60" s="227">
        <f t="shared" si="2"/>
        <v>0</v>
      </c>
      <c r="G60" s="250"/>
    </row>
    <row r="61" spans="1:8" x14ac:dyDescent="0.25">
      <c r="B61" s="228" t="s">
        <v>2</v>
      </c>
      <c r="C61" s="232"/>
      <c r="D61" s="230"/>
      <c r="E61" s="226">
        <f>SUM(E52:E60)</f>
        <v>47770000</v>
      </c>
    </row>
    <row r="64" spans="1:8" x14ac:dyDescent="0.25">
      <c r="A64" s="5" t="s">
        <v>246</v>
      </c>
      <c r="B64" s="5" t="s">
        <v>223</v>
      </c>
    </row>
    <row r="65" spans="2:7" ht="15" customHeight="1" x14ac:dyDescent="0.25">
      <c r="B65" s="219" t="s">
        <v>0</v>
      </c>
      <c r="C65" s="222" t="s">
        <v>1</v>
      </c>
      <c r="D65" s="219" t="s">
        <v>20</v>
      </c>
      <c r="E65" s="219" t="s">
        <v>21</v>
      </c>
    </row>
    <row r="66" spans="2:7" x14ac:dyDescent="0.25">
      <c r="B66" s="216" t="s">
        <v>296</v>
      </c>
      <c r="C66" s="178">
        <v>1</v>
      </c>
      <c r="D66" s="175">
        <v>7500000</v>
      </c>
      <c r="E66" s="227">
        <f t="shared" ref="E66:E84" si="3">D66*C66</f>
        <v>7500000</v>
      </c>
    </row>
    <row r="67" spans="2:7" x14ac:dyDescent="0.25">
      <c r="B67" s="216" t="s">
        <v>371</v>
      </c>
      <c r="C67" s="178">
        <v>4</v>
      </c>
      <c r="D67" s="175">
        <v>2000000</v>
      </c>
      <c r="E67" s="227">
        <f t="shared" si="3"/>
        <v>8000000</v>
      </c>
    </row>
    <row r="68" spans="2:7" x14ac:dyDescent="0.25">
      <c r="B68" s="177" t="s">
        <v>298</v>
      </c>
      <c r="C68" s="178">
        <v>6</v>
      </c>
      <c r="D68" s="175">
        <v>150000</v>
      </c>
      <c r="E68" s="227">
        <f t="shared" si="3"/>
        <v>900000</v>
      </c>
    </row>
    <row r="69" spans="2:7" x14ac:dyDescent="0.25">
      <c r="B69" s="216" t="s">
        <v>372</v>
      </c>
      <c r="C69" s="178">
        <v>3</v>
      </c>
      <c r="D69" s="175">
        <v>150000</v>
      </c>
      <c r="E69" s="227">
        <f t="shared" si="3"/>
        <v>450000</v>
      </c>
      <c r="G69" s="6"/>
    </row>
    <row r="70" spans="2:7" x14ac:dyDescent="0.25">
      <c r="B70" s="216" t="s">
        <v>373</v>
      </c>
      <c r="C70" s="178">
        <v>3</v>
      </c>
      <c r="D70" s="175">
        <v>300000</v>
      </c>
      <c r="E70" s="227">
        <f t="shared" si="3"/>
        <v>900000</v>
      </c>
    </row>
    <row r="71" spans="2:7" x14ac:dyDescent="0.25">
      <c r="B71" s="216" t="s">
        <v>374</v>
      </c>
      <c r="C71" s="178">
        <v>1</v>
      </c>
      <c r="D71" s="175">
        <v>15000000</v>
      </c>
      <c r="E71" s="227">
        <f t="shared" si="3"/>
        <v>15000000</v>
      </c>
    </row>
    <row r="72" spans="2:7" x14ac:dyDescent="0.25">
      <c r="B72" s="216" t="s">
        <v>394</v>
      </c>
      <c r="C72" s="178">
        <v>27</v>
      </c>
      <c r="D72" s="175">
        <v>260000</v>
      </c>
      <c r="E72" s="227">
        <f t="shared" si="3"/>
        <v>7020000</v>
      </c>
    </row>
    <row r="73" spans="2:7" x14ac:dyDescent="0.25">
      <c r="B73" s="216" t="s">
        <v>375</v>
      </c>
      <c r="C73" s="178">
        <v>4</v>
      </c>
      <c r="D73" s="175">
        <v>180000</v>
      </c>
      <c r="E73" s="227">
        <f t="shared" si="3"/>
        <v>720000</v>
      </c>
    </row>
    <row r="74" spans="2:7" x14ac:dyDescent="0.25">
      <c r="B74" s="216" t="s">
        <v>376</v>
      </c>
      <c r="C74" s="178">
        <v>1</v>
      </c>
      <c r="D74" s="175">
        <v>3000000</v>
      </c>
      <c r="E74" s="227">
        <f t="shared" si="3"/>
        <v>3000000</v>
      </c>
    </row>
    <row r="75" spans="2:7" x14ac:dyDescent="0.25">
      <c r="B75" s="216" t="s">
        <v>397</v>
      </c>
      <c r="C75" s="178">
        <v>20</v>
      </c>
      <c r="D75" s="175">
        <v>250000</v>
      </c>
      <c r="E75" s="227">
        <f t="shared" si="3"/>
        <v>5000000</v>
      </c>
    </row>
    <row r="76" spans="2:7" x14ac:dyDescent="0.25">
      <c r="B76" s="216" t="s">
        <v>399</v>
      </c>
      <c r="C76" s="178">
        <v>1</v>
      </c>
      <c r="D76" s="175">
        <v>5000000</v>
      </c>
      <c r="E76" s="227">
        <f>D76*C76</f>
        <v>5000000</v>
      </c>
    </row>
    <row r="77" spans="2:7" x14ac:dyDescent="0.25">
      <c r="B77" s="216"/>
      <c r="C77" s="251"/>
      <c r="D77" s="14"/>
      <c r="E77" s="227"/>
    </row>
    <row r="78" spans="2:7" x14ac:dyDescent="0.25">
      <c r="B78" s="177"/>
      <c r="C78" s="251"/>
      <c r="D78" s="175"/>
      <c r="E78" s="227"/>
    </row>
    <row r="79" spans="2:7" ht="15" customHeight="1" x14ac:dyDescent="0.25">
      <c r="B79" s="177"/>
      <c r="C79" s="251"/>
      <c r="D79" s="175"/>
      <c r="E79" s="227"/>
    </row>
    <row r="80" spans="2:7" ht="15" customHeight="1" x14ac:dyDescent="0.25">
      <c r="B80" s="177"/>
      <c r="C80" s="251"/>
      <c r="D80" s="175"/>
      <c r="E80" s="227"/>
    </row>
    <row r="81" spans="1:5" ht="15" customHeight="1" x14ac:dyDescent="0.25">
      <c r="B81" s="177"/>
      <c r="C81" s="178"/>
      <c r="D81" s="175"/>
      <c r="E81" s="227"/>
    </row>
    <row r="82" spans="1:5" x14ac:dyDescent="0.25">
      <c r="B82" s="177"/>
      <c r="C82" s="178"/>
      <c r="D82" s="104"/>
      <c r="E82" s="227"/>
    </row>
    <row r="83" spans="1:5" x14ac:dyDescent="0.25">
      <c r="B83" s="177"/>
      <c r="C83" s="178"/>
      <c r="D83" s="104"/>
      <c r="E83" s="227"/>
    </row>
    <row r="84" spans="1:5" ht="14.25" customHeight="1" x14ac:dyDescent="0.25">
      <c r="B84" s="177"/>
      <c r="C84" s="178"/>
      <c r="D84" s="104"/>
      <c r="E84" s="227">
        <f t="shared" si="3"/>
        <v>0</v>
      </c>
    </row>
    <row r="85" spans="1:5" x14ac:dyDescent="0.25">
      <c r="B85" s="228" t="s">
        <v>2</v>
      </c>
      <c r="C85" s="232"/>
      <c r="D85" s="233"/>
      <c r="E85" s="226">
        <f>SUM(E66:E84)</f>
        <v>53490000</v>
      </c>
    </row>
    <row r="86" spans="1:5" x14ac:dyDescent="0.25">
      <c r="B86" s="7"/>
      <c r="C86" s="7"/>
      <c r="D86" s="8"/>
      <c r="E86" s="8"/>
    </row>
    <row r="87" spans="1:5" x14ac:dyDescent="0.25">
      <c r="B87" s="7"/>
      <c r="C87" s="7"/>
      <c r="D87" s="8"/>
      <c r="E87" s="8"/>
    </row>
    <row r="88" spans="1:5" x14ac:dyDescent="0.25">
      <c r="A88" s="5" t="s">
        <v>247</v>
      </c>
      <c r="B88" s="9" t="s">
        <v>27</v>
      </c>
      <c r="C88" s="7"/>
      <c r="D88" s="8"/>
      <c r="E88" s="8"/>
    </row>
    <row r="89" spans="1:5" x14ac:dyDescent="0.25">
      <c r="A89" s="5"/>
      <c r="B89" s="367" t="s">
        <v>0</v>
      </c>
      <c r="C89" s="368"/>
      <c r="D89" s="223" t="s">
        <v>26</v>
      </c>
      <c r="E89" s="8"/>
    </row>
    <row r="90" spans="1:5" x14ac:dyDescent="0.25">
      <c r="A90" s="5"/>
      <c r="B90" s="180" t="s">
        <v>251</v>
      </c>
      <c r="C90" s="181" t="s">
        <v>287</v>
      </c>
      <c r="D90" s="234">
        <f>E5</f>
        <v>0</v>
      </c>
      <c r="E90" s="8"/>
    </row>
    <row r="91" spans="1:5" x14ac:dyDescent="0.25">
      <c r="B91" s="180" t="str">
        <f>B9</f>
        <v xml:space="preserve">Construcciones </v>
      </c>
      <c r="C91" s="181" t="s">
        <v>225</v>
      </c>
      <c r="D91" s="234">
        <f>E12</f>
        <v>0</v>
      </c>
      <c r="E91" s="8"/>
    </row>
    <row r="92" spans="1:5" x14ac:dyDescent="0.25">
      <c r="B92" s="180" t="str">
        <f>B15</f>
        <v>Maquinaria y Equipos</v>
      </c>
      <c r="C92" s="181" t="s">
        <v>226</v>
      </c>
      <c r="D92" s="234">
        <f>E29</f>
        <v>133900000</v>
      </c>
      <c r="E92" s="8"/>
    </row>
    <row r="93" spans="1:5" x14ac:dyDescent="0.25">
      <c r="B93" s="180" t="s">
        <v>3</v>
      </c>
      <c r="C93" s="181" t="s">
        <v>288</v>
      </c>
      <c r="D93" s="234">
        <f>E47</f>
        <v>44990000</v>
      </c>
      <c r="E93" s="8"/>
    </row>
    <row r="94" spans="1:5" x14ac:dyDescent="0.25">
      <c r="B94" s="180" t="s">
        <v>10</v>
      </c>
      <c r="C94" s="181" t="s">
        <v>289</v>
      </c>
      <c r="D94" s="234">
        <f>E61</f>
        <v>47770000</v>
      </c>
      <c r="E94" s="8"/>
    </row>
    <row r="95" spans="1:5" x14ac:dyDescent="0.25">
      <c r="B95" s="180" t="s">
        <v>222</v>
      </c>
      <c r="C95" s="181" t="s">
        <v>290</v>
      </c>
      <c r="D95" s="234">
        <f>E85</f>
        <v>53490000</v>
      </c>
      <c r="E95" s="8"/>
    </row>
    <row r="96" spans="1:5" x14ac:dyDescent="0.25">
      <c r="B96" s="366" t="s">
        <v>2</v>
      </c>
      <c r="C96" s="366"/>
      <c r="D96" s="233">
        <f>SUM(D90:D95)</f>
        <v>280150000</v>
      </c>
      <c r="E96" s="8"/>
    </row>
    <row r="97" spans="1:11" x14ac:dyDescent="0.25">
      <c r="B97" s="7"/>
      <c r="C97" s="7"/>
      <c r="D97" s="8"/>
      <c r="E97" s="8"/>
    </row>
    <row r="98" spans="1:11" x14ac:dyDescent="0.25">
      <c r="B98" s="7"/>
      <c r="C98" s="7"/>
      <c r="D98" s="8"/>
      <c r="E98" s="8"/>
    </row>
    <row r="100" spans="1:11" x14ac:dyDescent="0.25">
      <c r="A100" s="5" t="s">
        <v>259</v>
      </c>
      <c r="B100" s="5" t="s">
        <v>6</v>
      </c>
    </row>
    <row r="101" spans="1:11" x14ac:dyDescent="0.25">
      <c r="B101" s="362" t="s">
        <v>0</v>
      </c>
      <c r="C101" s="363"/>
      <c r="D101" s="219" t="s">
        <v>26</v>
      </c>
      <c r="K101" s="4" t="s">
        <v>295</v>
      </c>
    </row>
    <row r="102" spans="1:11" x14ac:dyDescent="0.25">
      <c r="B102" s="182" t="s">
        <v>29</v>
      </c>
      <c r="C102" s="100"/>
      <c r="D102" s="183">
        <v>1000000</v>
      </c>
      <c r="F102" s="10"/>
      <c r="G102" s="10"/>
    </row>
    <row r="103" spans="1:11" ht="12.75" customHeight="1" x14ac:dyDescent="0.25">
      <c r="B103" s="350" t="s">
        <v>206</v>
      </c>
      <c r="C103" s="351"/>
      <c r="D103" s="183">
        <v>400000</v>
      </c>
    </row>
    <row r="104" spans="1:11" ht="12.75" customHeight="1" x14ac:dyDescent="0.25">
      <c r="B104" s="180" t="s">
        <v>207</v>
      </c>
      <c r="C104" s="181"/>
      <c r="D104" s="183">
        <v>0</v>
      </c>
    </row>
    <row r="105" spans="1:11" x14ac:dyDescent="0.25">
      <c r="B105" s="182" t="s">
        <v>28</v>
      </c>
      <c r="C105" s="100"/>
      <c r="D105" s="183">
        <v>0</v>
      </c>
    </row>
    <row r="106" spans="1:11" x14ac:dyDescent="0.25">
      <c r="B106" s="182" t="s">
        <v>5</v>
      </c>
      <c r="C106" s="100"/>
      <c r="D106" s="183">
        <v>0</v>
      </c>
    </row>
    <row r="107" spans="1:11" x14ac:dyDescent="0.25">
      <c r="B107" s="182" t="s">
        <v>204</v>
      </c>
      <c r="C107" s="100"/>
      <c r="D107" s="183">
        <v>800000</v>
      </c>
    </row>
    <row r="108" spans="1:11" x14ac:dyDescent="0.25">
      <c r="B108" s="182" t="s">
        <v>232</v>
      </c>
      <c r="C108" s="100"/>
      <c r="D108" s="183">
        <v>20000000</v>
      </c>
    </row>
    <row r="109" spans="1:11" x14ac:dyDescent="0.25">
      <c r="B109" s="182" t="s">
        <v>193</v>
      </c>
      <c r="C109" s="100"/>
      <c r="D109" s="183">
        <v>2600000</v>
      </c>
    </row>
    <row r="110" spans="1:11" x14ac:dyDescent="0.25">
      <c r="B110" s="364" t="s">
        <v>2</v>
      </c>
      <c r="C110" s="365"/>
      <c r="D110" s="233">
        <f>SUM(D102:D109)</f>
        <v>24800000</v>
      </c>
    </row>
    <row r="111" spans="1:11" ht="12.75" customHeight="1" x14ac:dyDescent="0.25">
      <c r="D111" s="11"/>
    </row>
    <row r="112" spans="1:11" x14ac:dyDescent="0.25">
      <c r="B112" s="235" t="s">
        <v>224</v>
      </c>
      <c r="C112" s="236"/>
      <c r="D112" s="230">
        <f>D110/5</f>
        <v>4960000</v>
      </c>
      <c r="G112" s="11"/>
    </row>
    <row r="116" spans="1:4" x14ac:dyDescent="0.25">
      <c r="B116" s="5" t="s">
        <v>99</v>
      </c>
    </row>
    <row r="117" spans="1:4" x14ac:dyDescent="0.25">
      <c r="B117" s="352" t="s">
        <v>95</v>
      </c>
      <c r="C117" s="360" t="s">
        <v>96</v>
      </c>
      <c r="D117" s="361"/>
    </row>
    <row r="118" spans="1:4" x14ac:dyDescent="0.25">
      <c r="B118" s="353"/>
      <c r="C118" s="224" t="s">
        <v>97</v>
      </c>
      <c r="D118" s="225" t="s">
        <v>98</v>
      </c>
    </row>
    <row r="119" spans="1:4" x14ac:dyDescent="0.25">
      <c r="B119" s="14" t="s">
        <v>94</v>
      </c>
      <c r="C119" s="184">
        <v>1</v>
      </c>
      <c r="D119" s="237">
        <f>(1-C119)</f>
        <v>0</v>
      </c>
    </row>
    <row r="120" spans="1:4" ht="13.5" customHeight="1" x14ac:dyDescent="0.25">
      <c r="B120" s="14" t="s">
        <v>93</v>
      </c>
      <c r="C120" s="184">
        <v>0.9</v>
      </c>
      <c r="D120" s="237">
        <f>(1-C120)</f>
        <v>9.9999999999999978E-2</v>
      </c>
    </row>
    <row r="121" spans="1:4" x14ac:dyDescent="0.25">
      <c r="B121" s="14" t="s">
        <v>348</v>
      </c>
      <c r="C121" s="184">
        <v>0.9</v>
      </c>
      <c r="D121" s="237">
        <f>(1-C121)</f>
        <v>9.9999999999999978E-2</v>
      </c>
    </row>
    <row r="122" spans="1:4" ht="15" customHeight="1" x14ac:dyDescent="0.25">
      <c r="B122" s="14" t="s">
        <v>7</v>
      </c>
      <c r="C122" s="184">
        <v>0.9</v>
      </c>
      <c r="D122" s="237">
        <f>(1-C122)</f>
        <v>9.9999999999999978E-2</v>
      </c>
    </row>
    <row r="123" spans="1:4" ht="13.5" hidden="1" customHeight="1" x14ac:dyDescent="0.25">
      <c r="B123" s="14" t="s">
        <v>94</v>
      </c>
      <c r="C123" s="184">
        <v>1</v>
      </c>
      <c r="D123" s="237">
        <v>0</v>
      </c>
    </row>
    <row r="124" spans="1:4" ht="15.75" customHeight="1" x14ac:dyDescent="0.25">
      <c r="B124" s="14" t="s">
        <v>349</v>
      </c>
      <c r="C124" s="184">
        <v>0.15</v>
      </c>
      <c r="D124" s="237">
        <f>(1-C124)</f>
        <v>0.85</v>
      </c>
    </row>
    <row r="128" spans="1:4" x14ac:dyDescent="0.25">
      <c r="A128" s="5" t="s">
        <v>256</v>
      </c>
      <c r="B128" s="5" t="s">
        <v>241</v>
      </c>
    </row>
    <row r="129" spans="2:11" x14ac:dyDescent="0.25">
      <c r="B129" s="352" t="s">
        <v>217</v>
      </c>
      <c r="C129" s="354" t="s">
        <v>26</v>
      </c>
      <c r="D129" s="349" t="s">
        <v>96</v>
      </c>
      <c r="E129" s="349"/>
    </row>
    <row r="130" spans="2:11" x14ac:dyDescent="0.25">
      <c r="B130" s="353"/>
      <c r="C130" s="355"/>
      <c r="D130" s="218" t="s">
        <v>97</v>
      </c>
      <c r="E130" s="218" t="s">
        <v>98</v>
      </c>
    </row>
    <row r="131" spans="2:11" x14ac:dyDescent="0.25">
      <c r="B131" s="14" t="s">
        <v>94</v>
      </c>
      <c r="C131" s="185">
        <v>800000</v>
      </c>
      <c r="D131" s="238">
        <f>C131*C119</f>
        <v>800000</v>
      </c>
      <c r="E131" s="238">
        <f>C131*D119</f>
        <v>0</v>
      </c>
    </row>
    <row r="132" spans="2:11" x14ac:dyDescent="0.25">
      <c r="B132" s="14" t="s">
        <v>93</v>
      </c>
      <c r="C132" s="185">
        <v>8000000</v>
      </c>
      <c r="D132" s="238">
        <f>C132*C120</f>
        <v>7200000</v>
      </c>
      <c r="E132" s="238">
        <f>C132*D120</f>
        <v>799999.99999999977</v>
      </c>
    </row>
    <row r="133" spans="2:11" x14ac:dyDescent="0.25">
      <c r="B133" s="14" t="s">
        <v>347</v>
      </c>
      <c r="C133" s="185">
        <v>1300000</v>
      </c>
      <c r="D133" s="238">
        <f>C133*C121</f>
        <v>1170000</v>
      </c>
      <c r="E133" s="238">
        <f>C133*D121</f>
        <v>129999.99999999997</v>
      </c>
    </row>
    <row r="134" spans="2:11" x14ac:dyDescent="0.25">
      <c r="B134" s="14" t="s">
        <v>7</v>
      </c>
      <c r="C134" s="185">
        <v>3000000</v>
      </c>
      <c r="D134" s="238">
        <f>C134*C122</f>
        <v>2700000</v>
      </c>
      <c r="E134" s="238">
        <f>C134*D122</f>
        <v>299999.99999999994</v>
      </c>
    </row>
    <row r="135" spans="2:11" x14ac:dyDescent="0.25">
      <c r="B135" s="14" t="s">
        <v>205</v>
      </c>
      <c r="C135" s="185">
        <v>420000</v>
      </c>
      <c r="D135" s="238">
        <f>C135*C124</f>
        <v>63000</v>
      </c>
      <c r="E135" s="238">
        <f>D124*C135</f>
        <v>357000</v>
      </c>
    </row>
    <row r="141" spans="2:11" x14ac:dyDescent="0.25">
      <c r="K141" s="5"/>
    </row>
  </sheetData>
  <mergeCells count="16">
    <mergeCell ref="D129:E129"/>
    <mergeCell ref="B103:C103"/>
    <mergeCell ref="B129:B130"/>
    <mergeCell ref="C129:C130"/>
    <mergeCell ref="B4:D4"/>
    <mergeCell ref="B5:D5"/>
    <mergeCell ref="B6:D6"/>
    <mergeCell ref="B117:B118"/>
    <mergeCell ref="C117:D117"/>
    <mergeCell ref="B101:C101"/>
    <mergeCell ref="B110:C110"/>
    <mergeCell ref="B96:C96"/>
    <mergeCell ref="B89:C89"/>
    <mergeCell ref="B10:D10"/>
    <mergeCell ref="B11:D11"/>
    <mergeCell ref="B12:D12"/>
  </mergeCells>
  <phoneticPr fontId="3" type="noConversion"/>
  <pageMargins left="0.75" right="0.75" top="1" bottom="1" header="0" footer="0"/>
  <pageSetup paperSize="9" orientation="portrait" horizont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2:R203"/>
  <sheetViews>
    <sheetView showGridLines="0" topLeftCell="A79" zoomScale="90" zoomScaleNormal="90" workbookViewId="0">
      <selection activeCell="D78" sqref="D78"/>
    </sheetView>
  </sheetViews>
  <sheetFormatPr baseColWidth="10" defaultColWidth="11.44140625" defaultRowHeight="13.2" x14ac:dyDescent="0.25"/>
  <cols>
    <col min="1" max="1" width="7" style="4" customWidth="1"/>
    <col min="2" max="2" width="3.44140625" style="4" customWidth="1"/>
    <col min="3" max="3" width="33.6640625" style="4" customWidth="1"/>
    <col min="4" max="4" width="15.5546875" style="4" customWidth="1"/>
    <col min="5" max="5" width="17.6640625" style="4" customWidth="1"/>
    <col min="6" max="6" width="18.44140625" style="4" customWidth="1"/>
    <col min="7" max="7" width="14.88671875" style="4" customWidth="1"/>
    <col min="8" max="8" width="17.33203125" style="4" customWidth="1"/>
    <col min="9" max="9" width="17.88671875" style="4" customWidth="1"/>
    <col min="10" max="10" width="19.88671875" style="4" customWidth="1"/>
    <col min="11" max="11" width="15.44140625" style="4" customWidth="1"/>
    <col min="12" max="12" width="13.109375" style="4" customWidth="1"/>
    <col min="13" max="13" width="13.5546875" style="4" customWidth="1"/>
    <col min="14" max="14" width="12.44140625" style="4" customWidth="1"/>
    <col min="15" max="15" width="13" style="4" customWidth="1"/>
    <col min="16" max="16" width="13.109375" style="4" customWidth="1"/>
    <col min="17" max="17" width="12.5546875" style="4" customWidth="1"/>
    <col min="18" max="18" width="11.6640625" style="4" customWidth="1"/>
    <col min="19" max="19" width="11" style="4" customWidth="1"/>
    <col min="20" max="20" width="11.44140625" style="4"/>
    <col min="21" max="21" width="15.109375" style="4" customWidth="1"/>
    <col min="22" max="22" width="12.44140625" style="4" customWidth="1"/>
    <col min="23" max="24" width="11.44140625" style="4"/>
    <col min="25" max="25" width="16" style="4" customWidth="1"/>
    <col min="26" max="26" width="11.44140625" style="4"/>
    <col min="27" max="27" width="13.5546875" style="4" bestFit="1" customWidth="1"/>
    <col min="28" max="29" width="11.44140625" style="4"/>
    <col min="30" max="30" width="29.5546875" style="4" customWidth="1"/>
    <col min="31" max="33" width="11.44140625" style="4"/>
    <col min="34" max="34" width="16" style="4" customWidth="1"/>
    <col min="35" max="35" width="11.44140625" style="4"/>
    <col min="36" max="36" width="13.5546875" style="4" bestFit="1" customWidth="1"/>
    <col min="37" max="16384" width="11.44140625" style="4"/>
  </cols>
  <sheetData>
    <row r="2" spans="1:9" ht="21" x14ac:dyDescent="0.4">
      <c r="G2" s="256"/>
    </row>
    <row r="4" spans="1:9" x14ac:dyDescent="0.25">
      <c r="H4" s="5"/>
    </row>
    <row r="5" spans="1:9" x14ac:dyDescent="0.25">
      <c r="A5" s="5" t="s">
        <v>39</v>
      </c>
      <c r="B5" s="63">
        <v>10</v>
      </c>
      <c r="C5" s="5" t="s">
        <v>38</v>
      </c>
      <c r="D5" s="5"/>
    </row>
    <row r="6" spans="1:9" x14ac:dyDescent="0.25">
      <c r="C6" s="389" t="s">
        <v>0</v>
      </c>
      <c r="D6" s="390"/>
      <c r="E6" s="258" t="s">
        <v>41</v>
      </c>
      <c r="H6" s="16">
        <v>1160000</v>
      </c>
      <c r="I6" s="4" t="s">
        <v>350</v>
      </c>
    </row>
    <row r="7" spans="1:9" x14ac:dyDescent="0.25">
      <c r="C7" s="391" t="s">
        <v>30</v>
      </c>
      <c r="D7" s="392"/>
      <c r="E7" s="263">
        <v>8.3330000000000001E-2</v>
      </c>
      <c r="H7" s="16">
        <v>140606</v>
      </c>
      <c r="I7" s="4" t="s">
        <v>351</v>
      </c>
    </row>
    <row r="8" spans="1:9" x14ac:dyDescent="0.25">
      <c r="C8" s="391" t="s">
        <v>31</v>
      </c>
      <c r="D8" s="392"/>
      <c r="E8" s="263">
        <v>0.01</v>
      </c>
      <c r="H8" s="269">
        <f>H6+H7</f>
        <v>1300606</v>
      </c>
    </row>
    <row r="9" spans="1:9" x14ac:dyDescent="0.25">
      <c r="C9" s="391" t="s">
        <v>32</v>
      </c>
      <c r="D9" s="392"/>
      <c r="E9" s="263">
        <v>4.1669999999999999E-2</v>
      </c>
    </row>
    <row r="10" spans="1:9" x14ac:dyDescent="0.25">
      <c r="C10" s="391" t="s">
        <v>33</v>
      </c>
      <c r="D10" s="392"/>
      <c r="E10" s="263">
        <v>8.3330000000000001E-2</v>
      </c>
    </row>
    <row r="11" spans="1:9" x14ac:dyDescent="0.25">
      <c r="C11" s="391" t="s">
        <v>34</v>
      </c>
      <c r="D11" s="392"/>
      <c r="E11" s="263">
        <v>0.09</v>
      </c>
    </row>
    <row r="12" spans="1:9" x14ac:dyDescent="0.25">
      <c r="C12" s="391" t="s">
        <v>35</v>
      </c>
      <c r="D12" s="392"/>
      <c r="E12" s="263">
        <v>0.20499999999999999</v>
      </c>
    </row>
    <row r="13" spans="1:9" x14ac:dyDescent="0.25">
      <c r="C13" s="391" t="s">
        <v>36</v>
      </c>
      <c r="D13" s="392"/>
      <c r="E13" s="263">
        <v>7.0000000000000007E-2</v>
      </c>
    </row>
    <row r="14" spans="1:9" x14ac:dyDescent="0.25">
      <c r="C14" s="391" t="s">
        <v>37</v>
      </c>
      <c r="D14" s="392"/>
      <c r="E14" s="263">
        <v>5.2199999999999998E-3</v>
      </c>
    </row>
    <row r="15" spans="1:9" ht="18" customHeight="1" x14ac:dyDescent="0.25">
      <c r="C15" s="271" t="s">
        <v>40</v>
      </c>
      <c r="D15" s="265"/>
      <c r="E15" s="264">
        <f>SUM(E7:E14)</f>
        <v>0.58854999999999991</v>
      </c>
      <c r="F15" s="186"/>
    </row>
    <row r="18" spans="1:13" x14ac:dyDescent="0.25">
      <c r="A18" s="5" t="s">
        <v>24</v>
      </c>
      <c r="B18" s="63">
        <v>11</v>
      </c>
      <c r="C18" s="187" t="s">
        <v>42</v>
      </c>
      <c r="D18" s="187"/>
    </row>
    <row r="19" spans="1:13" ht="12.75" customHeight="1" x14ac:dyDescent="0.25">
      <c r="C19" s="374" t="s">
        <v>44</v>
      </c>
      <c r="D19" s="372" t="s">
        <v>1</v>
      </c>
      <c r="E19" s="379" t="s">
        <v>45</v>
      </c>
      <c r="F19" s="383" t="s">
        <v>46</v>
      </c>
      <c r="G19" s="383" t="s">
        <v>50</v>
      </c>
      <c r="H19" s="377" t="s">
        <v>47</v>
      </c>
      <c r="I19" s="378"/>
      <c r="J19" s="374" t="s">
        <v>49</v>
      </c>
    </row>
    <row r="20" spans="1:13" x14ac:dyDescent="0.25">
      <c r="C20" s="375"/>
      <c r="D20" s="373"/>
      <c r="E20" s="380" t="s">
        <v>43</v>
      </c>
      <c r="F20" s="384"/>
      <c r="G20" s="384"/>
      <c r="H20" s="259" t="s">
        <v>48</v>
      </c>
      <c r="I20" s="259" t="s">
        <v>2</v>
      </c>
      <c r="J20" s="375"/>
    </row>
    <row r="21" spans="1:13" x14ac:dyDescent="0.25">
      <c r="C21" s="239" t="s">
        <v>382</v>
      </c>
      <c r="D21" s="176">
        <v>1</v>
      </c>
      <c r="E21" s="16">
        <v>3200000</v>
      </c>
      <c r="F21" s="16">
        <v>0</v>
      </c>
      <c r="G21" s="270">
        <f>(E21+F21)*$E$15</f>
        <v>1883359.9999999998</v>
      </c>
      <c r="H21" s="270">
        <f>E21+F21+G21</f>
        <v>5083360</v>
      </c>
      <c r="I21" s="270">
        <f>D21*H21</f>
        <v>5083360</v>
      </c>
      <c r="J21" s="270">
        <f>I21*12</f>
        <v>61000320</v>
      </c>
    </row>
    <row r="22" spans="1:13" x14ac:dyDescent="0.25">
      <c r="C22" s="239" t="s">
        <v>383</v>
      </c>
      <c r="D22" s="176">
        <v>5</v>
      </c>
      <c r="E22" s="16">
        <v>1200000</v>
      </c>
      <c r="F22" s="16">
        <f>H7</f>
        <v>140606</v>
      </c>
      <c r="G22" s="270">
        <f>(E22+F22)*$E$15</f>
        <v>789013.66129999992</v>
      </c>
      <c r="H22" s="270">
        <f>E22+F22+G22</f>
        <v>2129619.6612999998</v>
      </c>
      <c r="I22" s="270">
        <f>D22*H22</f>
        <v>10648098.306499999</v>
      </c>
      <c r="J22" s="270">
        <f>I22*12</f>
        <v>127777179.67799999</v>
      </c>
    </row>
    <row r="23" spans="1:13" x14ac:dyDescent="0.25">
      <c r="C23" s="239" t="s">
        <v>390</v>
      </c>
      <c r="D23" s="176">
        <v>1</v>
      </c>
      <c r="E23" s="16">
        <v>1800000</v>
      </c>
      <c r="F23" s="16">
        <v>140606</v>
      </c>
      <c r="G23" s="270">
        <f>(E23+F23)*$E$15</f>
        <v>1142143.6612999998</v>
      </c>
      <c r="H23" s="270">
        <f>E23+F23+G23</f>
        <v>3082749.6612999998</v>
      </c>
      <c r="I23" s="270">
        <f>D23*H23</f>
        <v>3082749.6612999998</v>
      </c>
      <c r="J23" s="270">
        <f>I23*12</f>
        <v>36992995.935599998</v>
      </c>
    </row>
    <row r="24" spans="1:13" ht="14.25" customHeight="1" x14ac:dyDescent="0.25">
      <c r="C24" s="188"/>
      <c r="D24" s="176"/>
      <c r="E24" s="16"/>
      <c r="F24" s="16"/>
      <c r="G24" s="270">
        <f>(E24+F24)*$E$15</f>
        <v>0</v>
      </c>
      <c r="H24" s="270">
        <f>E24+F24+G24</f>
        <v>0</v>
      </c>
      <c r="I24" s="270">
        <f>D24*H24</f>
        <v>0</v>
      </c>
      <c r="J24" s="270">
        <f>I24*12</f>
        <v>0</v>
      </c>
    </row>
    <row r="25" spans="1:13" x14ac:dyDescent="0.25">
      <c r="C25" s="266" t="s">
        <v>2</v>
      </c>
      <c r="D25" s="267">
        <f>SUM(D21:D24)</f>
        <v>7</v>
      </c>
      <c r="E25" s="268"/>
      <c r="F25" s="268"/>
      <c r="G25" s="268"/>
      <c r="H25" s="268"/>
      <c r="I25" s="269">
        <f>SUM(I21:I24)</f>
        <v>18814207.967799999</v>
      </c>
      <c r="J25" s="269">
        <f>SUM(J21:J24)</f>
        <v>225770495.61359996</v>
      </c>
      <c r="K25" s="6"/>
      <c r="L25" s="6"/>
      <c r="M25" s="5"/>
    </row>
    <row r="28" spans="1:13" x14ac:dyDescent="0.25">
      <c r="A28" s="5" t="s">
        <v>24</v>
      </c>
      <c r="B28" s="63">
        <v>12</v>
      </c>
      <c r="C28" s="187" t="s">
        <v>51</v>
      </c>
      <c r="D28" s="187"/>
    </row>
    <row r="29" spans="1:13" ht="13.5" customHeight="1" x14ac:dyDescent="0.25">
      <c r="C29" s="372" t="s">
        <v>44</v>
      </c>
      <c r="D29" s="385"/>
      <c r="E29" s="374" t="s">
        <v>26</v>
      </c>
      <c r="F29" s="383" t="s">
        <v>52</v>
      </c>
      <c r="G29" s="383" t="s">
        <v>53</v>
      </c>
      <c r="H29" s="383" t="s">
        <v>56</v>
      </c>
      <c r="I29" s="383" t="s">
        <v>55</v>
      </c>
      <c r="J29" s="374" t="s">
        <v>54</v>
      </c>
    </row>
    <row r="30" spans="1:13" x14ac:dyDescent="0.25">
      <c r="C30" s="386"/>
      <c r="D30" s="387"/>
      <c r="E30" s="375" t="s">
        <v>43</v>
      </c>
      <c r="F30" s="384"/>
      <c r="G30" s="384"/>
      <c r="H30" s="384" t="s">
        <v>48</v>
      </c>
      <c r="I30" s="384" t="s">
        <v>2</v>
      </c>
      <c r="J30" s="375"/>
    </row>
    <row r="31" spans="1:13" ht="12.75" customHeight="1" x14ac:dyDescent="0.25">
      <c r="C31" s="12" t="str">
        <f>'INVERSIONES '!B91</f>
        <v xml:space="preserve">Construcciones </v>
      </c>
      <c r="D31" s="13" t="s">
        <v>225</v>
      </c>
      <c r="E31" s="270">
        <f>'INVERSIONES '!D91</f>
        <v>0</v>
      </c>
      <c r="F31" s="272">
        <v>20</v>
      </c>
      <c r="G31" s="270">
        <f>E31-((E31/F31)*5)</f>
        <v>0</v>
      </c>
      <c r="H31" s="270">
        <f>E31-G31</f>
        <v>0</v>
      </c>
      <c r="I31" s="270">
        <f>(J31/12)</f>
        <v>0</v>
      </c>
      <c r="J31" s="270">
        <f>(H31/5)</f>
        <v>0</v>
      </c>
    </row>
    <row r="32" spans="1:13" x14ac:dyDescent="0.25">
      <c r="C32" s="12" t="str">
        <f>'INVERSIONES '!B92</f>
        <v>Maquinaria y Equipos</v>
      </c>
      <c r="D32" s="13" t="s">
        <v>226</v>
      </c>
      <c r="E32" s="270">
        <f>'INVERSIONES '!D92</f>
        <v>133900000</v>
      </c>
      <c r="F32" s="272">
        <v>10</v>
      </c>
      <c r="G32" s="270">
        <f>E32-((E32/F32)*5)</f>
        <v>66950000</v>
      </c>
      <c r="H32" s="270">
        <f>E32-G32</f>
        <v>66950000</v>
      </c>
      <c r="I32" s="270">
        <f>(J32/12)</f>
        <v>1115833.3333333333</v>
      </c>
      <c r="J32" s="270">
        <f>(H32/5)</f>
        <v>13390000</v>
      </c>
    </row>
    <row r="33" spans="1:18" x14ac:dyDescent="0.25">
      <c r="C33" s="12" t="str">
        <f>'INVERSIONES '!B93</f>
        <v>Muebles y enseres</v>
      </c>
      <c r="D33" s="13" t="s">
        <v>227</v>
      </c>
      <c r="E33" s="270">
        <f>'INVERSIONES '!D93</f>
        <v>44990000</v>
      </c>
      <c r="F33" s="272">
        <v>5</v>
      </c>
      <c r="G33" s="270">
        <f>E33-((E33/F33)*5)</f>
        <v>0</v>
      </c>
      <c r="H33" s="270">
        <f>E33-G33</f>
        <v>44990000</v>
      </c>
      <c r="I33" s="270">
        <f>(J33/12)</f>
        <v>749833.33333333337</v>
      </c>
      <c r="J33" s="270">
        <f>(H33/5)</f>
        <v>8998000</v>
      </c>
    </row>
    <row r="34" spans="1:18" x14ac:dyDescent="0.25">
      <c r="C34" s="12" t="str">
        <f>'INVERSIONES '!B94</f>
        <v>Equipos de oficina</v>
      </c>
      <c r="D34" s="13" t="s">
        <v>228</v>
      </c>
      <c r="E34" s="270">
        <f>'INVERSIONES '!D94</f>
        <v>47770000</v>
      </c>
      <c r="F34" s="272">
        <v>5</v>
      </c>
      <c r="G34" s="270">
        <f>E34-((E34/F34)*5)</f>
        <v>0</v>
      </c>
      <c r="H34" s="270">
        <f>E34-G34</f>
        <v>47770000</v>
      </c>
      <c r="I34" s="270">
        <f>(J34/12)</f>
        <v>796166.66666666663</v>
      </c>
      <c r="J34" s="270">
        <f>(H34/5)</f>
        <v>9554000</v>
      </c>
    </row>
    <row r="35" spans="1:18" x14ac:dyDescent="0.25">
      <c r="C35" s="12" t="str">
        <f>'INVERSIONES '!B95</f>
        <v>Herraminentas</v>
      </c>
      <c r="D35" s="13" t="s">
        <v>246</v>
      </c>
      <c r="E35" s="270">
        <f>'INVERSIONES '!D95</f>
        <v>53490000</v>
      </c>
      <c r="F35" s="272">
        <v>5</v>
      </c>
      <c r="G35" s="270">
        <f>E35-((E35/F35)*5)</f>
        <v>0</v>
      </c>
      <c r="H35" s="270">
        <f>E35-G35</f>
        <v>53490000</v>
      </c>
      <c r="I35" s="270">
        <f>(J35/12)</f>
        <v>891500</v>
      </c>
      <c r="J35" s="270">
        <f>(H35/5)</f>
        <v>10698000</v>
      </c>
    </row>
    <row r="36" spans="1:18" x14ac:dyDescent="0.25">
      <c r="C36" s="381" t="s">
        <v>2</v>
      </c>
      <c r="D36" s="382"/>
      <c r="E36" s="268"/>
      <c r="F36" s="268"/>
      <c r="G36" s="268"/>
      <c r="H36" s="269">
        <f>SUM(H31:H35)</f>
        <v>213200000</v>
      </c>
      <c r="I36" s="269">
        <f>SUM(I31:I35)</f>
        <v>3553333.333333333</v>
      </c>
      <c r="J36" s="269">
        <f>SUM(J31:J35)</f>
        <v>42640000</v>
      </c>
    </row>
    <row r="38" spans="1:18" ht="13.5" customHeight="1" x14ac:dyDescent="0.25"/>
    <row r="39" spans="1:18" ht="14.25" customHeight="1" x14ac:dyDescent="0.25">
      <c r="A39" s="5" t="s">
        <v>24</v>
      </c>
      <c r="B39" s="5">
        <v>13</v>
      </c>
      <c r="C39" s="5" t="s">
        <v>99</v>
      </c>
    </row>
    <row r="40" spans="1:18" x14ac:dyDescent="0.25">
      <c r="C40" s="393" t="s">
        <v>208</v>
      </c>
      <c r="D40" s="371" t="s">
        <v>96</v>
      </c>
      <c r="E40" s="371"/>
      <c r="K40" s="6"/>
      <c r="L40" s="6"/>
    </row>
    <row r="41" spans="1:18" x14ac:dyDescent="0.25">
      <c r="C41" s="393"/>
      <c r="D41" s="260" t="s">
        <v>97</v>
      </c>
      <c r="E41" s="260" t="s">
        <v>98</v>
      </c>
      <c r="K41" s="6"/>
      <c r="L41" s="6"/>
    </row>
    <row r="42" spans="1:18" ht="13.5" customHeight="1" x14ac:dyDescent="0.25">
      <c r="C42" s="14" t="str">
        <f>C31</f>
        <v xml:space="preserve">Construcciones </v>
      </c>
      <c r="D42" s="189">
        <v>0.9</v>
      </c>
      <c r="E42" s="273">
        <f>(1-D42)</f>
        <v>9.9999999999999978E-2</v>
      </c>
      <c r="K42" s="6"/>
      <c r="L42" s="6"/>
      <c r="R42" s="190"/>
    </row>
    <row r="43" spans="1:18" ht="14.25" customHeight="1" x14ac:dyDescent="0.25">
      <c r="C43" s="14" t="str">
        <f>C32</f>
        <v>Maquinaria y Equipos</v>
      </c>
      <c r="D43" s="189">
        <v>0.9</v>
      </c>
      <c r="E43" s="273">
        <f>(1-D43)</f>
        <v>9.9999999999999978E-2</v>
      </c>
    </row>
    <row r="44" spans="1:18" ht="13.5" customHeight="1" x14ac:dyDescent="0.25">
      <c r="C44" s="14" t="str">
        <f>C33</f>
        <v>Muebles y enseres</v>
      </c>
      <c r="D44" s="189">
        <v>0.9</v>
      </c>
      <c r="E44" s="273">
        <f>(1-D44)</f>
        <v>9.9999999999999978E-2</v>
      </c>
    </row>
    <row r="45" spans="1:18" ht="14.25" customHeight="1" x14ac:dyDescent="0.25">
      <c r="C45" s="14" t="str">
        <f>C34</f>
        <v>Equipos de oficina</v>
      </c>
      <c r="D45" s="189">
        <v>0.9</v>
      </c>
      <c r="E45" s="273">
        <f>(1-D45)</f>
        <v>9.9999999999999978E-2</v>
      </c>
    </row>
    <row r="46" spans="1:18" x14ac:dyDescent="0.25">
      <c r="C46" s="14" t="str">
        <f>C35</f>
        <v>Herraminentas</v>
      </c>
      <c r="D46" s="189">
        <v>0.9</v>
      </c>
      <c r="E46" s="273">
        <f>(1-D46)</f>
        <v>9.9999999999999978E-2</v>
      </c>
    </row>
    <row r="47" spans="1:18" x14ac:dyDescent="0.25">
      <c r="C47" s="22"/>
      <c r="D47" s="22"/>
      <c r="E47" s="22"/>
    </row>
    <row r="48" spans="1:18" ht="13.5" customHeight="1" x14ac:dyDescent="0.25">
      <c r="C48" s="22"/>
      <c r="D48" s="22"/>
      <c r="E48" s="22"/>
    </row>
    <row r="49" spans="1:10" ht="14.25" customHeight="1" x14ac:dyDescent="0.25">
      <c r="C49" s="394" t="s">
        <v>208</v>
      </c>
      <c r="D49" s="261" t="s">
        <v>26</v>
      </c>
      <c r="E49" s="371" t="s">
        <v>258</v>
      </c>
      <c r="F49" s="371"/>
    </row>
    <row r="50" spans="1:10" x14ac:dyDescent="0.25">
      <c r="C50" s="395"/>
      <c r="D50" s="262" t="s">
        <v>69</v>
      </c>
      <c r="E50" s="260" t="s">
        <v>97</v>
      </c>
      <c r="F50" s="260" t="s">
        <v>98</v>
      </c>
    </row>
    <row r="51" spans="1:10" x14ac:dyDescent="0.25">
      <c r="C51" s="14" t="s">
        <v>231</v>
      </c>
      <c r="D51" s="270">
        <f>J31</f>
        <v>0</v>
      </c>
      <c r="E51" s="274">
        <f>D42*D51</f>
        <v>0</v>
      </c>
      <c r="F51" s="274">
        <f>D51*E42</f>
        <v>0</v>
      </c>
    </row>
    <row r="52" spans="1:10" x14ac:dyDescent="0.25">
      <c r="C52" s="14" t="s">
        <v>195</v>
      </c>
      <c r="D52" s="270">
        <f>J32</f>
        <v>13390000</v>
      </c>
      <c r="E52" s="274">
        <f>D43*D52</f>
        <v>12051000</v>
      </c>
      <c r="F52" s="274">
        <f>D52*E43</f>
        <v>1338999.9999999998</v>
      </c>
    </row>
    <row r="53" spans="1:10" x14ac:dyDescent="0.25">
      <c r="C53" s="14" t="s">
        <v>3</v>
      </c>
      <c r="D53" s="270">
        <f>J33</f>
        <v>8998000</v>
      </c>
      <c r="E53" s="274">
        <f>D44*D53</f>
        <v>8098200</v>
      </c>
      <c r="F53" s="274">
        <f>D53*E44</f>
        <v>899799.99999999977</v>
      </c>
    </row>
    <row r="54" spans="1:10" x14ac:dyDescent="0.25">
      <c r="C54" s="14" t="s">
        <v>194</v>
      </c>
      <c r="D54" s="270">
        <f>J34</f>
        <v>9554000</v>
      </c>
      <c r="E54" s="274">
        <f>D45*D54</f>
        <v>8598600</v>
      </c>
      <c r="F54" s="274">
        <f>D54*E45</f>
        <v>955399.99999999977</v>
      </c>
    </row>
    <row r="55" spans="1:10" x14ac:dyDescent="0.25">
      <c r="C55" s="14" t="s">
        <v>25</v>
      </c>
      <c r="D55" s="270">
        <f>J35</f>
        <v>10698000</v>
      </c>
      <c r="E55" s="274">
        <f>D46*D55</f>
        <v>9628200</v>
      </c>
      <c r="F55" s="274">
        <f>D55*E46</f>
        <v>1069799.9999999998</v>
      </c>
    </row>
    <row r="58" spans="1:10" ht="13.5" customHeight="1" x14ac:dyDescent="0.25">
      <c r="A58" s="5" t="s">
        <v>24</v>
      </c>
      <c r="B58" s="5">
        <v>14</v>
      </c>
      <c r="C58" s="5" t="s">
        <v>57</v>
      </c>
    </row>
    <row r="59" spans="1:10" ht="12.75" customHeight="1" x14ac:dyDescent="0.25">
      <c r="C59" s="372" t="s">
        <v>80</v>
      </c>
      <c r="D59" s="372" t="s">
        <v>81</v>
      </c>
      <c r="E59" s="372" t="s">
        <v>299</v>
      </c>
      <c r="F59" s="372" t="s">
        <v>230</v>
      </c>
      <c r="G59" s="374" t="s">
        <v>210</v>
      </c>
      <c r="H59" s="374" t="s">
        <v>82</v>
      </c>
      <c r="I59" s="374" t="s">
        <v>211</v>
      </c>
      <c r="J59" s="374" t="s">
        <v>87</v>
      </c>
    </row>
    <row r="60" spans="1:10" ht="27" customHeight="1" x14ac:dyDescent="0.25">
      <c r="C60" s="373"/>
      <c r="D60" s="373"/>
      <c r="E60" s="373"/>
      <c r="F60" s="373" t="s">
        <v>43</v>
      </c>
      <c r="G60" s="375"/>
      <c r="H60" s="375"/>
      <c r="I60" s="375"/>
      <c r="J60" s="375"/>
    </row>
    <row r="61" spans="1:10" ht="13.5" customHeight="1" x14ac:dyDescent="0.25">
      <c r="C61" s="15" t="s">
        <v>279</v>
      </c>
      <c r="D61" s="191" t="s">
        <v>209</v>
      </c>
      <c r="E61" s="192">
        <v>480</v>
      </c>
      <c r="F61" s="275">
        <f>E61/$D$78</f>
        <v>0.1522359657469077</v>
      </c>
      <c r="G61" s="16">
        <v>1500</v>
      </c>
      <c r="H61" s="270">
        <f>F61*G61</f>
        <v>228.35394862036156</v>
      </c>
      <c r="I61" s="276">
        <f t="shared" ref="I61:I73" si="0">H61*$D$77</f>
        <v>8640000</v>
      </c>
      <c r="J61" s="277">
        <f>I61/12</f>
        <v>720000</v>
      </c>
    </row>
    <row r="62" spans="1:10" ht="13.5" customHeight="1" x14ac:dyDescent="0.25">
      <c r="C62" s="241" t="s">
        <v>280</v>
      </c>
      <c r="D62" s="191" t="s">
        <v>209</v>
      </c>
      <c r="E62" s="192">
        <v>720</v>
      </c>
      <c r="F62" s="275">
        <f t="shared" ref="F62:F73" si="1">E62/$D$78</f>
        <v>0.22835394862036157</v>
      </c>
      <c r="G62" s="16">
        <v>15000</v>
      </c>
      <c r="H62" s="270">
        <f t="shared" ref="H62:H73" si="2">F62*G62</f>
        <v>3425.3092293054237</v>
      </c>
      <c r="I62" s="276">
        <f t="shared" si="0"/>
        <v>129600000.00000001</v>
      </c>
      <c r="J62" s="277">
        <f t="shared" ref="J62:J73" si="3">I62/12</f>
        <v>10800000.000000002</v>
      </c>
    </row>
    <row r="63" spans="1:10" ht="13.5" customHeight="1" x14ac:dyDescent="0.25">
      <c r="C63" s="15" t="s">
        <v>281</v>
      </c>
      <c r="D63" s="191" t="s">
        <v>209</v>
      </c>
      <c r="E63" s="192">
        <v>880</v>
      </c>
      <c r="F63" s="275">
        <f t="shared" si="1"/>
        <v>0.27909927053599748</v>
      </c>
      <c r="G63" s="16">
        <v>28000</v>
      </c>
      <c r="H63" s="270">
        <f t="shared" si="2"/>
        <v>7814.7795750079295</v>
      </c>
      <c r="I63" s="276">
        <f t="shared" si="0"/>
        <v>295680000</v>
      </c>
      <c r="J63" s="277">
        <f t="shared" si="3"/>
        <v>24640000</v>
      </c>
    </row>
    <row r="64" spans="1:10" ht="13.5" customHeight="1" x14ac:dyDescent="0.25">
      <c r="C64" s="15" t="s">
        <v>282</v>
      </c>
      <c r="D64" s="191" t="s">
        <v>209</v>
      </c>
      <c r="E64" s="192">
        <v>750</v>
      </c>
      <c r="F64" s="275">
        <f t="shared" si="1"/>
        <v>0.23786869647954328</v>
      </c>
      <c r="G64" s="16">
        <v>2700</v>
      </c>
      <c r="H64" s="270">
        <f t="shared" si="2"/>
        <v>642.24548049476687</v>
      </c>
      <c r="I64" s="276">
        <f t="shared" si="0"/>
        <v>24300000</v>
      </c>
      <c r="J64" s="277">
        <f t="shared" si="3"/>
        <v>2025000</v>
      </c>
    </row>
    <row r="65" spans="3:10" ht="13.5" customHeight="1" x14ac:dyDescent="0.25">
      <c r="C65" s="241" t="s">
        <v>391</v>
      </c>
      <c r="D65" s="191" t="s">
        <v>285</v>
      </c>
      <c r="E65" s="192">
        <v>50</v>
      </c>
      <c r="F65" s="275">
        <f t="shared" si="1"/>
        <v>1.5857913098636219E-2</v>
      </c>
      <c r="G65" s="16">
        <v>14000</v>
      </c>
      <c r="H65" s="270">
        <f t="shared" si="2"/>
        <v>222.01078338090707</v>
      </c>
      <c r="I65" s="276">
        <f t="shared" si="0"/>
        <v>8400000</v>
      </c>
      <c r="J65" s="277">
        <f t="shared" si="3"/>
        <v>700000</v>
      </c>
    </row>
    <row r="66" spans="3:10" ht="13.5" customHeight="1" x14ac:dyDescent="0.25">
      <c r="C66" s="241" t="s">
        <v>392</v>
      </c>
      <c r="D66" s="191" t="s">
        <v>285</v>
      </c>
      <c r="E66" s="192">
        <v>900</v>
      </c>
      <c r="F66" s="275">
        <f t="shared" si="1"/>
        <v>0.28544243577545197</v>
      </c>
      <c r="G66" s="16">
        <v>21000</v>
      </c>
      <c r="H66" s="270">
        <f t="shared" si="2"/>
        <v>5994.2911512844912</v>
      </c>
      <c r="I66" s="276">
        <f t="shared" si="0"/>
        <v>226800000</v>
      </c>
      <c r="J66" s="277">
        <f t="shared" si="3"/>
        <v>18900000</v>
      </c>
    </row>
    <row r="67" spans="3:10" ht="13.5" customHeight="1" x14ac:dyDescent="0.25">
      <c r="C67" s="15" t="s">
        <v>283</v>
      </c>
      <c r="D67" s="191" t="s">
        <v>286</v>
      </c>
      <c r="E67" s="192">
        <v>14</v>
      </c>
      <c r="F67" s="275">
        <f t="shared" si="1"/>
        <v>4.4402156676181413E-3</v>
      </c>
      <c r="G67" s="16">
        <v>1000</v>
      </c>
      <c r="H67" s="270">
        <f t="shared" si="2"/>
        <v>4.4402156676181415</v>
      </c>
      <c r="I67" s="276">
        <f t="shared" si="0"/>
        <v>168000</v>
      </c>
      <c r="J67" s="277">
        <f t="shared" si="3"/>
        <v>14000</v>
      </c>
    </row>
    <row r="68" spans="3:10" ht="13.5" customHeight="1" x14ac:dyDescent="0.25">
      <c r="C68" s="15" t="s">
        <v>284</v>
      </c>
      <c r="D68" s="191" t="s">
        <v>209</v>
      </c>
      <c r="E68" s="192">
        <v>8</v>
      </c>
      <c r="F68" s="275">
        <f t="shared" si="1"/>
        <v>2.5372660957817951E-3</v>
      </c>
      <c r="G68" s="16">
        <v>12000</v>
      </c>
      <c r="H68" s="270">
        <f>F68*G68</f>
        <v>30.44719314938154</v>
      </c>
      <c r="I68" s="276">
        <f t="shared" si="0"/>
        <v>1152000</v>
      </c>
      <c r="J68" s="277">
        <f t="shared" si="3"/>
        <v>96000</v>
      </c>
    </row>
    <row r="69" spans="3:10" ht="14.25" hidden="1" customHeight="1" x14ac:dyDescent="0.25">
      <c r="C69" s="15"/>
      <c r="D69" s="191"/>
      <c r="E69" s="192"/>
      <c r="F69" s="275">
        <f t="shared" si="1"/>
        <v>0</v>
      </c>
      <c r="G69" s="16"/>
      <c r="H69" s="270">
        <f t="shared" si="2"/>
        <v>0</v>
      </c>
      <c r="I69" s="276">
        <f t="shared" si="0"/>
        <v>0</v>
      </c>
      <c r="J69" s="277">
        <f t="shared" si="3"/>
        <v>0</v>
      </c>
    </row>
    <row r="70" spans="3:10" ht="14.25" customHeight="1" x14ac:dyDescent="0.25">
      <c r="C70" s="241" t="s">
        <v>385</v>
      </c>
      <c r="D70" s="240" t="s">
        <v>384</v>
      </c>
      <c r="E70" s="192">
        <v>80</v>
      </c>
      <c r="F70" s="275">
        <f t="shared" si="1"/>
        <v>2.5372660957817952E-2</v>
      </c>
      <c r="G70" s="16">
        <v>16000</v>
      </c>
      <c r="H70" s="270">
        <f t="shared" si="2"/>
        <v>405.96257532508724</v>
      </c>
      <c r="I70" s="276">
        <f t="shared" si="0"/>
        <v>15360000.000000002</v>
      </c>
      <c r="J70" s="277">
        <f t="shared" si="3"/>
        <v>1280000.0000000002</v>
      </c>
    </row>
    <row r="71" spans="3:10" ht="14.25" customHeight="1" x14ac:dyDescent="0.25">
      <c r="C71" s="241" t="s">
        <v>387</v>
      </c>
      <c r="D71" s="240" t="s">
        <v>209</v>
      </c>
      <c r="E71" s="192">
        <v>80</v>
      </c>
      <c r="F71" s="275">
        <f>E71/$D$78</f>
        <v>2.5372660957817952E-2</v>
      </c>
      <c r="G71" s="16">
        <v>6000</v>
      </c>
      <c r="H71" s="270">
        <f t="shared" si="2"/>
        <v>152.23596574690771</v>
      </c>
      <c r="I71" s="276">
        <f t="shared" si="0"/>
        <v>5760000</v>
      </c>
      <c r="J71" s="277">
        <f t="shared" si="3"/>
        <v>480000</v>
      </c>
    </row>
    <row r="72" spans="3:10" ht="14.25" customHeight="1" x14ac:dyDescent="0.25">
      <c r="C72" s="241" t="s">
        <v>388</v>
      </c>
      <c r="D72" s="240" t="s">
        <v>209</v>
      </c>
      <c r="E72" s="192">
        <v>100</v>
      </c>
      <c r="F72" s="275">
        <f t="shared" si="1"/>
        <v>3.1715826197272437E-2</v>
      </c>
      <c r="G72" s="16">
        <v>10000</v>
      </c>
      <c r="H72" s="270">
        <f t="shared" si="2"/>
        <v>317.15826197272435</v>
      </c>
      <c r="I72" s="276">
        <f t="shared" si="0"/>
        <v>11999999.999999998</v>
      </c>
      <c r="J72" s="277">
        <f t="shared" si="3"/>
        <v>999999.99999999988</v>
      </c>
    </row>
    <row r="73" spans="3:10" ht="14.25" customHeight="1" x14ac:dyDescent="0.25">
      <c r="C73" s="241" t="s">
        <v>386</v>
      </c>
      <c r="D73" s="240" t="s">
        <v>209</v>
      </c>
      <c r="E73" s="192">
        <v>100</v>
      </c>
      <c r="F73" s="275">
        <f t="shared" si="1"/>
        <v>3.1715826197272437E-2</v>
      </c>
      <c r="G73" s="16">
        <v>10000</v>
      </c>
      <c r="H73" s="270">
        <f t="shared" si="2"/>
        <v>317.15826197272435</v>
      </c>
      <c r="I73" s="276">
        <f t="shared" si="0"/>
        <v>11999999.999999998</v>
      </c>
      <c r="J73" s="277">
        <f t="shared" si="3"/>
        <v>999999.99999999988</v>
      </c>
    </row>
    <row r="74" spans="3:10" x14ac:dyDescent="0.25">
      <c r="C74" s="381" t="s">
        <v>2</v>
      </c>
      <c r="D74" s="382"/>
      <c r="E74" s="269"/>
      <c r="F74" s="269"/>
      <c r="G74" s="269"/>
      <c r="H74" s="278">
        <f>SUM(H61:H73)</f>
        <v>19554.39264192832</v>
      </c>
      <c r="I74" s="278">
        <f>SUM(I61:I73)</f>
        <v>739860000</v>
      </c>
      <c r="J74" s="279">
        <f>SUM(J61:J73)</f>
        <v>61655000</v>
      </c>
    </row>
    <row r="75" spans="3:10" ht="11.25" customHeight="1" x14ac:dyDescent="0.25">
      <c r="F75" s="23"/>
      <c r="H75" s="193"/>
    </row>
    <row r="76" spans="3:10" ht="11.25" customHeight="1" x14ac:dyDescent="0.25">
      <c r="F76" s="23"/>
      <c r="H76" s="193"/>
    </row>
    <row r="77" spans="3:10" ht="16.5" customHeight="1" x14ac:dyDescent="0.25">
      <c r="C77" s="24" t="s">
        <v>233</v>
      </c>
      <c r="D77" s="194">
        <v>37836</v>
      </c>
      <c r="F77" s="195"/>
      <c r="H77" s="196"/>
    </row>
    <row r="78" spans="3:10" ht="16.5" customHeight="1" x14ac:dyDescent="0.25">
      <c r="C78" s="24" t="s">
        <v>300</v>
      </c>
      <c r="D78" s="17">
        <f>D77/12</f>
        <v>3153</v>
      </c>
      <c r="E78" s="25"/>
      <c r="F78" s="195"/>
      <c r="H78" s="196"/>
    </row>
    <row r="79" spans="3:10" x14ac:dyDescent="0.25">
      <c r="D79" s="26"/>
      <c r="F79" s="197"/>
    </row>
    <row r="82" spans="1:16" ht="12.75" customHeight="1" x14ac:dyDescent="0.25">
      <c r="A82" s="5" t="s">
        <v>24</v>
      </c>
      <c r="B82" s="63">
        <v>15</v>
      </c>
      <c r="C82" s="388" t="s">
        <v>234</v>
      </c>
      <c r="D82" s="388"/>
      <c r="E82" s="388"/>
    </row>
    <row r="83" spans="1:16" ht="14.25" customHeight="1" x14ac:dyDescent="0.25">
      <c r="C83" s="372" t="s">
        <v>44</v>
      </c>
      <c r="D83" s="385"/>
      <c r="E83" s="372" t="s">
        <v>74</v>
      </c>
      <c r="F83" s="374" t="s">
        <v>75</v>
      </c>
    </row>
    <row r="84" spans="1:16" ht="12.75" customHeight="1" x14ac:dyDescent="0.25">
      <c r="C84" s="386"/>
      <c r="D84" s="387"/>
      <c r="E84" s="373" t="s">
        <v>43</v>
      </c>
      <c r="F84" s="376"/>
      <c r="P84" s="26"/>
    </row>
    <row r="85" spans="1:16" x14ac:dyDescent="0.25">
      <c r="C85" s="12" t="s">
        <v>71</v>
      </c>
      <c r="D85" s="198">
        <v>0.05</v>
      </c>
      <c r="E85" s="270">
        <f t="shared" ref="E85:E91" si="4">F85/12</f>
        <v>557916.66666666663</v>
      </c>
      <c r="F85" s="270">
        <f>E32*D85</f>
        <v>6695000</v>
      </c>
    </row>
    <row r="86" spans="1:16" x14ac:dyDescent="0.25">
      <c r="C86" s="199" t="s">
        <v>72</v>
      </c>
      <c r="D86" s="200">
        <v>0.04</v>
      </c>
      <c r="E86" s="270">
        <f>F86/12</f>
        <v>840450</v>
      </c>
      <c r="F86" s="270">
        <f>((E31*D42)+(E32*D43)+(E33*D44)+(E34*D45)+(E35*D46))*D86</f>
        <v>10085400</v>
      </c>
    </row>
    <row r="87" spans="1:16" x14ac:dyDescent="0.25">
      <c r="C87" s="12" t="s">
        <v>229</v>
      </c>
      <c r="D87" s="198" t="s">
        <v>239</v>
      </c>
      <c r="E87" s="270">
        <f t="shared" si="4"/>
        <v>0</v>
      </c>
      <c r="F87" s="270">
        <f>E51</f>
        <v>0</v>
      </c>
    </row>
    <row r="88" spans="1:16" x14ac:dyDescent="0.25">
      <c r="C88" s="12" t="s">
        <v>235</v>
      </c>
      <c r="D88" s="198" t="s">
        <v>239</v>
      </c>
      <c r="E88" s="270">
        <f t="shared" si="4"/>
        <v>1004250</v>
      </c>
      <c r="F88" s="270">
        <f>E52</f>
        <v>12051000</v>
      </c>
    </row>
    <row r="89" spans="1:16" ht="13.5" customHeight="1" x14ac:dyDescent="0.25">
      <c r="C89" s="12" t="s">
        <v>236</v>
      </c>
      <c r="D89" s="13" t="s">
        <v>239</v>
      </c>
      <c r="E89" s="270">
        <f t="shared" si="4"/>
        <v>674850</v>
      </c>
      <c r="F89" s="270">
        <f>E53</f>
        <v>8098200</v>
      </c>
    </row>
    <row r="90" spans="1:16" x14ac:dyDescent="0.25">
      <c r="C90" s="12" t="s">
        <v>237</v>
      </c>
      <c r="D90" s="13" t="s">
        <v>239</v>
      </c>
      <c r="E90" s="270">
        <f t="shared" si="4"/>
        <v>716550</v>
      </c>
      <c r="F90" s="270">
        <f>E54</f>
        <v>8598600</v>
      </c>
    </row>
    <row r="91" spans="1:16" x14ac:dyDescent="0.25">
      <c r="C91" s="201" t="s">
        <v>238</v>
      </c>
      <c r="D91" s="13" t="s">
        <v>239</v>
      </c>
      <c r="E91" s="270">
        <f t="shared" si="4"/>
        <v>802350</v>
      </c>
      <c r="F91" s="270">
        <f>E55</f>
        <v>9628200</v>
      </c>
    </row>
    <row r="92" spans="1:16" x14ac:dyDescent="0.25">
      <c r="C92" s="12" t="s">
        <v>73</v>
      </c>
      <c r="D92" s="13" t="s">
        <v>256</v>
      </c>
      <c r="E92" s="270">
        <f>('INVERSIONES '!D131+'INVERSIONES '!D133+'INVERSIONES '!D134+'INVERSIONES '!D135)</f>
        <v>4733000</v>
      </c>
      <c r="F92" s="270">
        <f>E92*12</f>
        <v>56796000</v>
      </c>
      <c r="I92" s="10"/>
    </row>
    <row r="93" spans="1:16" x14ac:dyDescent="0.25">
      <c r="C93" s="12" t="s">
        <v>93</v>
      </c>
      <c r="D93" s="18" t="s">
        <v>256</v>
      </c>
      <c r="E93" s="270">
        <f>'INVERSIONES '!D132</f>
        <v>7200000</v>
      </c>
      <c r="F93" s="270">
        <f>E93*12</f>
        <v>86400000</v>
      </c>
    </row>
    <row r="94" spans="1:16" x14ac:dyDescent="0.25">
      <c r="C94" s="242" t="s">
        <v>389</v>
      </c>
      <c r="D94" s="18"/>
      <c r="E94" s="280"/>
      <c r="F94" s="270">
        <f>E94*12</f>
        <v>0</v>
      </c>
    </row>
    <row r="95" spans="1:16" x14ac:dyDescent="0.25">
      <c r="C95" s="381" t="s">
        <v>2</v>
      </c>
      <c r="D95" s="382"/>
      <c r="E95" s="269">
        <f>SUM(E85:E94)</f>
        <v>16529366.666666666</v>
      </c>
      <c r="F95" s="269">
        <f>SUM(F85:F94)</f>
        <v>198352400</v>
      </c>
    </row>
    <row r="96" spans="1:16" x14ac:dyDescent="0.25">
      <c r="G96" s="202"/>
    </row>
    <row r="99" spans="1:10" x14ac:dyDescent="0.25">
      <c r="A99" s="5" t="s">
        <v>24</v>
      </c>
      <c r="B99" s="63">
        <v>16</v>
      </c>
      <c r="C99" s="388" t="s">
        <v>405</v>
      </c>
      <c r="D99" s="388"/>
    </row>
    <row r="100" spans="1:10" x14ac:dyDescent="0.25">
      <c r="C100" s="372" t="s">
        <v>44</v>
      </c>
      <c r="D100" s="385"/>
      <c r="E100" s="372" t="s">
        <v>74</v>
      </c>
      <c r="F100" s="374" t="s">
        <v>75</v>
      </c>
    </row>
    <row r="101" spans="1:10" x14ac:dyDescent="0.25">
      <c r="C101" s="386"/>
      <c r="D101" s="387"/>
      <c r="E101" s="373" t="s">
        <v>43</v>
      </c>
      <c r="F101" s="376"/>
    </row>
    <row r="102" spans="1:10" x14ac:dyDescent="0.25">
      <c r="C102" s="12" t="s">
        <v>86</v>
      </c>
      <c r="D102" s="198" t="s">
        <v>257</v>
      </c>
      <c r="E102" s="270">
        <f>I25</f>
        <v>18814207.967799999</v>
      </c>
      <c r="F102" s="270">
        <f>E102*12</f>
        <v>225770495.61359999</v>
      </c>
    </row>
    <row r="103" spans="1:10" x14ac:dyDescent="0.25">
      <c r="C103" s="201" t="s">
        <v>57</v>
      </c>
      <c r="D103" s="203" t="s">
        <v>240</v>
      </c>
      <c r="E103" s="270">
        <f>J74</f>
        <v>61655000</v>
      </c>
      <c r="F103" s="270">
        <f>E103*12</f>
        <v>739860000</v>
      </c>
    </row>
    <row r="104" spans="1:10" x14ac:dyDescent="0.25">
      <c r="C104" s="12" t="s">
        <v>234</v>
      </c>
      <c r="D104" s="13" t="s">
        <v>244</v>
      </c>
      <c r="E104" s="270">
        <f>E95</f>
        <v>16529366.666666666</v>
      </c>
      <c r="F104" s="270">
        <f>E104*12</f>
        <v>198352400</v>
      </c>
    </row>
    <row r="105" spans="1:10" x14ac:dyDescent="0.25">
      <c r="C105" s="381" t="s">
        <v>2</v>
      </c>
      <c r="D105" s="382"/>
      <c r="E105" s="269">
        <f>SUM(E102:E104)</f>
        <v>96998574.634466663</v>
      </c>
      <c r="F105" s="269">
        <f>SUM(F102:F104)</f>
        <v>1163982895.6136</v>
      </c>
    </row>
    <row r="106" spans="1:10" x14ac:dyDescent="0.25">
      <c r="C106" s="27"/>
      <c r="D106" s="27"/>
      <c r="E106" s="28"/>
      <c r="F106" s="28"/>
    </row>
    <row r="107" spans="1:10" x14ac:dyDescent="0.25">
      <c r="C107" s="27"/>
      <c r="D107" s="27"/>
      <c r="E107" s="28"/>
      <c r="F107" s="28"/>
    </row>
    <row r="109" spans="1:10" x14ac:dyDescent="0.25">
      <c r="A109" s="5" t="s">
        <v>24</v>
      </c>
      <c r="B109" s="63">
        <v>17</v>
      </c>
      <c r="C109" s="388" t="s">
        <v>78</v>
      </c>
      <c r="D109" s="388"/>
    </row>
    <row r="110" spans="1:10" x14ac:dyDescent="0.25">
      <c r="C110" s="374" t="s">
        <v>44</v>
      </c>
      <c r="D110" s="372" t="s">
        <v>1</v>
      </c>
      <c r="E110" s="379" t="s">
        <v>45</v>
      </c>
      <c r="F110" s="383" t="s">
        <v>46</v>
      </c>
      <c r="G110" s="383" t="s">
        <v>50</v>
      </c>
      <c r="H110" s="377" t="s">
        <v>47</v>
      </c>
      <c r="I110" s="378"/>
      <c r="J110" s="374" t="s">
        <v>49</v>
      </c>
    </row>
    <row r="111" spans="1:10" x14ac:dyDescent="0.25">
      <c r="C111" s="375"/>
      <c r="D111" s="373"/>
      <c r="E111" s="380" t="s">
        <v>43</v>
      </c>
      <c r="F111" s="384"/>
      <c r="G111" s="384"/>
      <c r="H111" s="259" t="s">
        <v>48</v>
      </c>
      <c r="I111" s="259" t="s">
        <v>2</v>
      </c>
      <c r="J111" s="375"/>
    </row>
    <row r="112" spans="1:10" x14ac:dyDescent="0.25">
      <c r="C112" s="179" t="s">
        <v>301</v>
      </c>
      <c r="D112" s="176">
        <v>1</v>
      </c>
      <c r="E112" s="16">
        <v>4000000</v>
      </c>
      <c r="F112" s="16"/>
      <c r="G112" s="270">
        <f t="shared" ref="G112:G117" si="5">(E112+F112)*$E$15</f>
        <v>2354199.9999999995</v>
      </c>
      <c r="H112" s="270">
        <f t="shared" ref="H112:H117" si="6">E112+F112+G112</f>
        <v>6354200</v>
      </c>
      <c r="I112" s="270">
        <f t="shared" ref="I112:I117" si="7">D112*H112</f>
        <v>6354200</v>
      </c>
      <c r="J112" s="270">
        <f t="shared" ref="J112:J117" si="8">I112*12</f>
        <v>76250400</v>
      </c>
    </row>
    <row r="113" spans="1:11" x14ac:dyDescent="0.25">
      <c r="C113" s="243"/>
      <c r="D113" s="176"/>
      <c r="E113" s="16"/>
      <c r="F113" s="16"/>
      <c r="G113" s="270">
        <f t="shared" si="5"/>
        <v>0</v>
      </c>
      <c r="H113" s="270">
        <f t="shared" si="6"/>
        <v>0</v>
      </c>
      <c r="I113" s="270">
        <f t="shared" si="7"/>
        <v>0</v>
      </c>
      <c r="J113" s="270">
        <f t="shared" si="8"/>
        <v>0</v>
      </c>
    </row>
    <row r="114" spans="1:11" x14ac:dyDescent="0.25">
      <c r="C114" s="179"/>
      <c r="D114" s="176"/>
      <c r="E114" s="16"/>
      <c r="F114" s="16"/>
      <c r="G114" s="270">
        <f t="shared" si="5"/>
        <v>0</v>
      </c>
      <c r="H114" s="270">
        <f t="shared" si="6"/>
        <v>0</v>
      </c>
      <c r="I114" s="270">
        <f t="shared" si="7"/>
        <v>0</v>
      </c>
      <c r="J114" s="270">
        <f t="shared" si="8"/>
        <v>0</v>
      </c>
    </row>
    <row r="115" spans="1:11" x14ac:dyDescent="0.25">
      <c r="C115" s="179"/>
      <c r="D115" s="176"/>
      <c r="E115" s="16"/>
      <c r="F115" s="16"/>
      <c r="G115" s="270">
        <f t="shared" si="5"/>
        <v>0</v>
      </c>
      <c r="H115" s="270">
        <f t="shared" si="6"/>
        <v>0</v>
      </c>
      <c r="I115" s="270">
        <f t="shared" si="7"/>
        <v>0</v>
      </c>
      <c r="J115" s="270">
        <f t="shared" si="8"/>
        <v>0</v>
      </c>
    </row>
    <row r="116" spans="1:11" x14ac:dyDescent="0.25">
      <c r="C116" s="179"/>
      <c r="D116" s="176"/>
      <c r="E116" s="16"/>
      <c r="F116" s="16"/>
      <c r="G116" s="270">
        <f t="shared" si="5"/>
        <v>0</v>
      </c>
      <c r="H116" s="270">
        <f t="shared" si="6"/>
        <v>0</v>
      </c>
      <c r="I116" s="270">
        <f t="shared" si="7"/>
        <v>0</v>
      </c>
      <c r="J116" s="270">
        <f t="shared" si="8"/>
        <v>0</v>
      </c>
    </row>
    <row r="117" spans="1:11" x14ac:dyDescent="0.25">
      <c r="C117" s="179"/>
      <c r="D117" s="176"/>
      <c r="E117" s="16"/>
      <c r="F117" s="16"/>
      <c r="G117" s="270">
        <f t="shared" si="5"/>
        <v>0</v>
      </c>
      <c r="H117" s="270">
        <f t="shared" si="6"/>
        <v>0</v>
      </c>
      <c r="I117" s="270">
        <f t="shared" si="7"/>
        <v>0</v>
      </c>
      <c r="J117" s="270">
        <f t="shared" si="8"/>
        <v>0</v>
      </c>
    </row>
    <row r="118" spans="1:11" x14ac:dyDescent="0.25">
      <c r="C118" s="266" t="s">
        <v>2</v>
      </c>
      <c r="D118" s="281">
        <f>SUM(D112:D117)</f>
        <v>1</v>
      </c>
      <c r="E118" s="269">
        <f t="shared" ref="E118:J118" si="9">SUM(E112:E117)</f>
        <v>4000000</v>
      </c>
      <c r="F118" s="269">
        <f t="shared" si="9"/>
        <v>0</v>
      </c>
      <c r="G118" s="269">
        <f t="shared" si="9"/>
        <v>2354199.9999999995</v>
      </c>
      <c r="H118" s="269">
        <f t="shared" si="9"/>
        <v>6354200</v>
      </c>
      <c r="I118" s="269">
        <f t="shared" si="9"/>
        <v>6354200</v>
      </c>
      <c r="J118" s="269">
        <f t="shared" si="9"/>
        <v>76250400</v>
      </c>
    </row>
    <row r="122" spans="1:11" x14ac:dyDescent="0.25">
      <c r="A122" s="5" t="s">
        <v>24</v>
      </c>
      <c r="B122" s="63">
        <v>18</v>
      </c>
      <c r="C122" s="388" t="s">
        <v>76</v>
      </c>
      <c r="D122" s="388"/>
    </row>
    <row r="123" spans="1:11" x14ac:dyDescent="0.25">
      <c r="C123" s="372" t="s">
        <v>44</v>
      </c>
      <c r="D123" s="385"/>
      <c r="E123" s="372" t="s">
        <v>74</v>
      </c>
      <c r="F123" s="374" t="s">
        <v>75</v>
      </c>
    </row>
    <row r="124" spans="1:11" x14ac:dyDescent="0.25">
      <c r="C124" s="386"/>
      <c r="D124" s="387"/>
      <c r="E124" s="373" t="s">
        <v>43</v>
      </c>
      <c r="F124" s="376"/>
    </row>
    <row r="125" spans="1:11" x14ac:dyDescent="0.25">
      <c r="C125" s="12" t="s">
        <v>71</v>
      </c>
      <c r="D125" s="198">
        <v>0.05</v>
      </c>
      <c r="E125" s="282">
        <f t="shared" ref="E125:E131" si="10">F125/12</f>
        <v>199041.66666666666</v>
      </c>
      <c r="F125" s="270">
        <f>E34*D125</f>
        <v>2388500</v>
      </c>
    </row>
    <row r="126" spans="1:11" x14ac:dyDescent="0.25">
      <c r="C126" s="201" t="s">
        <v>72</v>
      </c>
      <c r="D126" s="203">
        <v>0.04</v>
      </c>
      <c r="E126" s="282">
        <f t="shared" si="10"/>
        <v>93383.333333333314</v>
      </c>
      <c r="F126" s="282">
        <f>((E31*E42)+(E32*E43)+(E33*E44)+(E34*E45)+(E35*E46))*D126</f>
        <v>1120599.9999999998</v>
      </c>
    </row>
    <row r="127" spans="1:11" x14ac:dyDescent="0.25">
      <c r="C127" s="12" t="s">
        <v>229</v>
      </c>
      <c r="D127" s="13" t="s">
        <v>239</v>
      </c>
      <c r="E127" s="282">
        <f t="shared" si="10"/>
        <v>0</v>
      </c>
      <c r="F127" s="270">
        <f>F51</f>
        <v>0</v>
      </c>
      <c r="J127" s="6"/>
    </row>
    <row r="128" spans="1:11" x14ac:dyDescent="0.25">
      <c r="C128" s="12" t="s">
        <v>235</v>
      </c>
      <c r="D128" s="18" t="s">
        <v>239</v>
      </c>
      <c r="E128" s="282">
        <f t="shared" si="10"/>
        <v>111583.33333333331</v>
      </c>
      <c r="F128" s="270">
        <f>F52</f>
        <v>1338999.9999999998</v>
      </c>
      <c r="K128" s="4" t="s">
        <v>295</v>
      </c>
    </row>
    <row r="129" spans="3:8" x14ac:dyDescent="0.25">
      <c r="C129" s="12" t="s">
        <v>236</v>
      </c>
      <c r="D129" s="13" t="s">
        <v>239</v>
      </c>
      <c r="E129" s="282">
        <f t="shared" si="10"/>
        <v>74983.333333333314</v>
      </c>
      <c r="F129" s="270">
        <f>F53</f>
        <v>899799.99999999977</v>
      </c>
    </row>
    <row r="130" spans="3:8" x14ac:dyDescent="0.25">
      <c r="C130" s="12" t="s">
        <v>237</v>
      </c>
      <c r="D130" s="13" t="s">
        <v>239</v>
      </c>
      <c r="E130" s="282">
        <f t="shared" si="10"/>
        <v>79616.666666666642</v>
      </c>
      <c r="F130" s="270">
        <f>F54</f>
        <v>955399.99999999977</v>
      </c>
    </row>
    <row r="131" spans="3:8" x14ac:dyDescent="0.25">
      <c r="C131" s="12" t="s">
        <v>238</v>
      </c>
      <c r="D131" s="13" t="s">
        <v>239</v>
      </c>
      <c r="E131" s="282">
        <f t="shared" si="10"/>
        <v>89149.999999999985</v>
      </c>
      <c r="F131" s="270">
        <f>F55</f>
        <v>1069799.9999999998</v>
      </c>
    </row>
    <row r="132" spans="3:8" x14ac:dyDescent="0.25">
      <c r="C132" s="201" t="s">
        <v>93</v>
      </c>
      <c r="D132" s="13" t="s">
        <v>256</v>
      </c>
      <c r="E132" s="283">
        <f>'INVERSIONES '!E132</f>
        <v>799999.99999999977</v>
      </c>
      <c r="F132" s="270">
        <f t="shared" ref="F132:F140" si="11">E132*12</f>
        <v>9599999.9999999963</v>
      </c>
    </row>
    <row r="133" spans="3:8" x14ac:dyDescent="0.25">
      <c r="C133" s="12" t="s">
        <v>73</v>
      </c>
      <c r="D133" s="13" t="s">
        <v>256</v>
      </c>
      <c r="E133" s="282">
        <f>('INVERSIONES '!E131+'INVERSIONES '!E133+'INVERSIONES '!E134+'INVERSIONES '!E135)</f>
        <v>786999.99999999988</v>
      </c>
      <c r="F133" s="270">
        <f t="shared" si="11"/>
        <v>9443999.9999999981</v>
      </c>
    </row>
    <row r="134" spans="3:8" hidden="1" x14ac:dyDescent="0.25">
      <c r="C134" s="201" t="s">
        <v>77</v>
      </c>
      <c r="D134" s="19"/>
      <c r="E134" s="284">
        <f>'INVERSIONES '!E132</f>
        <v>799999.99999999977</v>
      </c>
      <c r="F134" s="270">
        <f t="shared" si="11"/>
        <v>9599999.9999999963</v>
      </c>
    </row>
    <row r="135" spans="3:8" x14ac:dyDescent="0.25">
      <c r="C135" s="12" t="s">
        <v>302</v>
      </c>
      <c r="D135" s="13"/>
      <c r="E135" s="282">
        <v>1040000</v>
      </c>
      <c r="F135" s="270">
        <f t="shared" si="11"/>
        <v>12480000</v>
      </c>
      <c r="H135" s="6"/>
    </row>
    <row r="136" spans="3:8" x14ac:dyDescent="0.25">
      <c r="C136" s="12" t="s">
        <v>17</v>
      </c>
      <c r="D136" s="13"/>
      <c r="E136" s="282">
        <v>100000</v>
      </c>
      <c r="F136" s="270">
        <f t="shared" si="11"/>
        <v>1200000</v>
      </c>
    </row>
    <row r="137" spans="3:8" x14ac:dyDescent="0.25">
      <c r="C137" s="12" t="s">
        <v>196</v>
      </c>
      <c r="D137" s="13"/>
      <c r="E137" s="282">
        <v>600000</v>
      </c>
      <c r="F137" s="270">
        <f t="shared" si="11"/>
        <v>7200000</v>
      </c>
    </row>
    <row r="138" spans="3:8" x14ac:dyDescent="0.25">
      <c r="C138" s="12" t="s">
        <v>11</v>
      </c>
      <c r="D138" s="13"/>
      <c r="E138" s="282">
        <v>200000</v>
      </c>
      <c r="F138" s="270">
        <f t="shared" si="11"/>
        <v>2400000</v>
      </c>
    </row>
    <row r="139" spans="3:8" x14ac:dyDescent="0.25">
      <c r="C139" s="12" t="s">
        <v>85</v>
      </c>
      <c r="D139" s="13"/>
      <c r="E139" s="282">
        <f>F139/12</f>
        <v>413333.33333333331</v>
      </c>
      <c r="F139" s="270">
        <f>'INVERSIONES '!D112</f>
        <v>4960000</v>
      </c>
    </row>
    <row r="140" spans="3:8" ht="26.4" x14ac:dyDescent="0.25">
      <c r="C140" s="12" t="s">
        <v>83</v>
      </c>
      <c r="D140" s="13"/>
      <c r="E140" s="282">
        <v>1200000</v>
      </c>
      <c r="F140" s="270">
        <f t="shared" si="11"/>
        <v>14400000</v>
      </c>
    </row>
    <row r="141" spans="3:8" x14ac:dyDescent="0.25">
      <c r="C141" s="381" t="s">
        <v>2</v>
      </c>
      <c r="D141" s="382"/>
      <c r="E141" s="269">
        <f>SUM(E125:E140)</f>
        <v>6588091.666666666</v>
      </c>
      <c r="F141" s="269">
        <f>SUM(F125:F140)</f>
        <v>79057099.999999985</v>
      </c>
      <c r="G141" s="6"/>
    </row>
    <row r="145" spans="1:10" x14ac:dyDescent="0.25">
      <c r="A145" s="5" t="s">
        <v>24</v>
      </c>
      <c r="B145" s="63">
        <v>19</v>
      </c>
      <c r="C145" s="5" t="s">
        <v>79</v>
      </c>
    </row>
    <row r="146" spans="1:10" x14ac:dyDescent="0.25">
      <c r="C146" s="374" t="s">
        <v>44</v>
      </c>
      <c r="D146" s="372" t="s">
        <v>1</v>
      </c>
      <c r="E146" s="379" t="s">
        <v>45</v>
      </c>
      <c r="F146" s="383" t="s">
        <v>46</v>
      </c>
      <c r="G146" s="383" t="s">
        <v>50</v>
      </c>
      <c r="H146" s="377" t="s">
        <v>47</v>
      </c>
      <c r="I146" s="378"/>
      <c r="J146" s="374" t="s">
        <v>49</v>
      </c>
    </row>
    <row r="147" spans="1:10" x14ac:dyDescent="0.25">
      <c r="C147" s="375"/>
      <c r="D147" s="373"/>
      <c r="E147" s="380" t="s">
        <v>43</v>
      </c>
      <c r="F147" s="384"/>
      <c r="G147" s="384"/>
      <c r="H147" s="259" t="s">
        <v>48</v>
      </c>
      <c r="I147" s="259" t="s">
        <v>2</v>
      </c>
      <c r="J147" s="375"/>
    </row>
    <row r="148" spans="1:10" x14ac:dyDescent="0.25">
      <c r="C148" s="179" t="s">
        <v>353</v>
      </c>
      <c r="D148" s="176">
        <v>1</v>
      </c>
      <c r="E148" s="16">
        <v>2100000</v>
      </c>
      <c r="F148" s="16">
        <v>0</v>
      </c>
      <c r="G148" s="270">
        <v>0</v>
      </c>
      <c r="H148" s="270">
        <f>E148+F148+G148</f>
        <v>2100000</v>
      </c>
      <c r="I148" s="270">
        <f>D148*H148</f>
        <v>2100000</v>
      </c>
      <c r="J148" s="270">
        <f>I148*12</f>
        <v>25200000</v>
      </c>
    </row>
    <row r="149" spans="1:10" x14ac:dyDescent="0.25">
      <c r="C149" s="179" t="s">
        <v>352</v>
      </c>
      <c r="D149" s="176">
        <v>8</v>
      </c>
      <c r="E149" s="16">
        <v>1200000</v>
      </c>
      <c r="F149" s="16">
        <v>140606</v>
      </c>
      <c r="G149" s="270">
        <f>(E149+F149)*$E$15</f>
        <v>789013.66129999992</v>
      </c>
      <c r="H149" s="270">
        <f>E149+F149+G149</f>
        <v>2129619.6612999998</v>
      </c>
      <c r="I149" s="270">
        <f>D149*H149</f>
        <v>17036957.290399998</v>
      </c>
      <c r="J149" s="270">
        <f>I149*12</f>
        <v>204443487.48479998</v>
      </c>
    </row>
    <row r="150" spans="1:10" x14ac:dyDescent="0.25">
      <c r="C150" s="179" t="s">
        <v>354</v>
      </c>
      <c r="D150" s="176">
        <v>1</v>
      </c>
      <c r="E150" s="16">
        <v>2000000</v>
      </c>
      <c r="F150" s="16">
        <v>140606</v>
      </c>
      <c r="G150" s="270">
        <f>(E150+F150)*$E$15</f>
        <v>1259853.6612999998</v>
      </c>
      <c r="H150" s="270">
        <f>E150+F150+G150</f>
        <v>3400459.6612999998</v>
      </c>
      <c r="I150" s="270">
        <f>D150*H150</f>
        <v>3400459.6612999998</v>
      </c>
      <c r="J150" s="270">
        <f>I150*12</f>
        <v>40805515.935599998</v>
      </c>
    </row>
    <row r="151" spans="1:10" x14ac:dyDescent="0.25">
      <c r="C151" s="179" t="s">
        <v>355</v>
      </c>
      <c r="D151" s="176">
        <v>1</v>
      </c>
      <c r="E151" s="16">
        <v>3200000</v>
      </c>
      <c r="F151" s="16">
        <v>0</v>
      </c>
      <c r="G151" s="270">
        <f>(E151+F151)*$E$15</f>
        <v>1883359.9999999998</v>
      </c>
      <c r="H151" s="270">
        <f>E151+F151+G151</f>
        <v>5083360</v>
      </c>
      <c r="I151" s="270">
        <f>D151*H151</f>
        <v>5083360</v>
      </c>
      <c r="J151" s="270">
        <f>I151*12</f>
        <v>61000320</v>
      </c>
    </row>
    <row r="152" spans="1:10" x14ac:dyDescent="0.25">
      <c r="C152" s="266" t="s">
        <v>2</v>
      </c>
      <c r="D152" s="281">
        <f t="shared" ref="D152:J152" si="12">SUM(D148:D151)</f>
        <v>11</v>
      </c>
      <c r="E152" s="269">
        <f t="shared" si="12"/>
        <v>8500000</v>
      </c>
      <c r="F152" s="269">
        <f t="shared" si="12"/>
        <v>281212</v>
      </c>
      <c r="G152" s="269">
        <f t="shared" si="12"/>
        <v>3932227.3225999996</v>
      </c>
      <c r="H152" s="269">
        <f t="shared" si="12"/>
        <v>12713439.3226</v>
      </c>
      <c r="I152" s="269">
        <f t="shared" si="12"/>
        <v>27620776.951699998</v>
      </c>
      <c r="J152" s="269">
        <f t="shared" si="12"/>
        <v>331449323.42039996</v>
      </c>
    </row>
    <row r="153" spans="1:10" x14ac:dyDescent="0.25">
      <c r="C153" s="244"/>
    </row>
    <row r="156" spans="1:10" x14ac:dyDescent="0.25">
      <c r="A156" s="5" t="s">
        <v>24</v>
      </c>
      <c r="B156" s="63">
        <v>20</v>
      </c>
      <c r="C156" s="388" t="s">
        <v>212</v>
      </c>
      <c r="D156" s="388"/>
    </row>
    <row r="157" spans="1:10" x14ac:dyDescent="0.25">
      <c r="C157" s="372" t="s">
        <v>44</v>
      </c>
      <c r="D157" s="385"/>
      <c r="E157" s="372" t="s">
        <v>74</v>
      </c>
      <c r="F157" s="374" t="s">
        <v>75</v>
      </c>
    </row>
    <row r="158" spans="1:10" x14ac:dyDescent="0.25">
      <c r="C158" s="386"/>
      <c r="D158" s="387"/>
      <c r="E158" s="373" t="s">
        <v>43</v>
      </c>
      <c r="F158" s="376"/>
    </row>
    <row r="159" spans="1:10" x14ac:dyDescent="0.25">
      <c r="C159" s="12" t="s">
        <v>78</v>
      </c>
      <c r="D159" s="198" t="s">
        <v>260</v>
      </c>
      <c r="E159" s="270">
        <f>F159/12</f>
        <v>6354200</v>
      </c>
      <c r="F159" s="270">
        <f>J118</f>
        <v>76250400</v>
      </c>
    </row>
    <row r="160" spans="1:10" x14ac:dyDescent="0.25">
      <c r="C160" s="12" t="s">
        <v>242</v>
      </c>
      <c r="D160" s="198" t="s">
        <v>262</v>
      </c>
      <c r="E160" s="270">
        <f>F160/12</f>
        <v>27620776.951699998</v>
      </c>
      <c r="F160" s="270">
        <f>J152</f>
        <v>331449323.42039996</v>
      </c>
    </row>
    <row r="161" spans="1:10" x14ac:dyDescent="0.25">
      <c r="C161" s="201" t="s">
        <v>76</v>
      </c>
      <c r="D161" s="203" t="s">
        <v>261</v>
      </c>
      <c r="E161" s="270">
        <f>F161/12</f>
        <v>6588091.6666666651</v>
      </c>
      <c r="F161" s="270">
        <f>F141</f>
        <v>79057099.999999985</v>
      </c>
    </row>
    <row r="162" spans="1:10" x14ac:dyDescent="0.25">
      <c r="C162" s="381" t="s">
        <v>2</v>
      </c>
      <c r="D162" s="382"/>
      <c r="E162" s="269">
        <f>SUM(E159:E161)</f>
        <v>40563068.618366666</v>
      </c>
      <c r="F162" s="269">
        <f>SUM(F159:F161)</f>
        <v>486756823.42039996</v>
      </c>
    </row>
    <row r="163" spans="1:10" x14ac:dyDescent="0.25">
      <c r="C163" s="204"/>
      <c r="D163" s="205"/>
    </row>
    <row r="164" spans="1:10" x14ac:dyDescent="0.25">
      <c r="C164" s="204"/>
      <c r="D164" s="205"/>
    </row>
    <row r="165" spans="1:10" x14ac:dyDescent="0.25">
      <c r="C165" s="204"/>
      <c r="D165" s="205"/>
    </row>
    <row r="166" spans="1:10" x14ac:dyDescent="0.25">
      <c r="A166" s="5" t="s">
        <v>24</v>
      </c>
      <c r="B166" s="63">
        <v>21</v>
      </c>
      <c r="C166" s="388" t="s">
        <v>8</v>
      </c>
      <c r="D166" s="388"/>
    </row>
    <row r="167" spans="1:10" x14ac:dyDescent="0.25">
      <c r="C167" s="372" t="s">
        <v>100</v>
      </c>
      <c r="D167" s="385"/>
      <c r="E167" s="374" t="s">
        <v>101</v>
      </c>
    </row>
    <row r="168" spans="1:10" x14ac:dyDescent="0.25">
      <c r="C168" s="386"/>
      <c r="D168" s="387"/>
      <c r="E168" s="375" t="s">
        <v>43</v>
      </c>
    </row>
    <row r="169" spans="1:10" x14ac:dyDescent="0.25">
      <c r="C169" s="12" t="s">
        <v>107</v>
      </c>
      <c r="D169" s="191" t="s">
        <v>263</v>
      </c>
      <c r="E169" s="274">
        <v>7834772.1680350574</v>
      </c>
      <c r="F169" s="4">
        <v>6748399.644875857</v>
      </c>
    </row>
    <row r="170" spans="1:10" ht="15" customHeight="1" x14ac:dyDescent="0.25">
      <c r="C170" s="12" t="s">
        <v>108</v>
      </c>
      <c r="D170" s="191" t="s">
        <v>263</v>
      </c>
      <c r="E170" s="274">
        <v>7730653.3645217763</v>
      </c>
      <c r="F170" s="4">
        <v>6658717.9947162531</v>
      </c>
    </row>
    <row r="171" spans="1:10" ht="13.5" customHeight="1" x14ac:dyDescent="0.25">
      <c r="C171" s="12" t="s">
        <v>109</v>
      </c>
      <c r="D171" s="191" t="s">
        <v>263</v>
      </c>
      <c r="E171" s="274">
        <v>7624660.4225452561</v>
      </c>
      <c r="F171" s="4">
        <v>6567422.074853776</v>
      </c>
    </row>
    <row r="173" spans="1:10" ht="13.8" thickBot="1" x14ac:dyDescent="0.3">
      <c r="G173" s="10"/>
    </row>
    <row r="174" spans="1:10" ht="13.8" thickBot="1" x14ac:dyDescent="0.3">
      <c r="C174" s="4" t="s">
        <v>106</v>
      </c>
      <c r="F174" s="206">
        <v>3</v>
      </c>
      <c r="G174" s="285" t="s">
        <v>404</v>
      </c>
      <c r="H174" s="286"/>
      <c r="I174" s="286"/>
      <c r="J174" s="287"/>
    </row>
    <row r="175" spans="1:10" x14ac:dyDescent="0.25">
      <c r="F175" s="82"/>
      <c r="G175" s="5"/>
    </row>
    <row r="177" spans="1:6" x14ac:dyDescent="0.25">
      <c r="A177" s="5" t="s">
        <v>24</v>
      </c>
      <c r="B177" s="63">
        <v>22</v>
      </c>
      <c r="C177" s="388" t="s">
        <v>102</v>
      </c>
      <c r="D177" s="388"/>
    </row>
    <row r="178" spans="1:6" x14ac:dyDescent="0.25">
      <c r="C178" s="372" t="s">
        <v>111</v>
      </c>
      <c r="D178" s="385"/>
      <c r="E178" s="372" t="s">
        <v>101</v>
      </c>
      <c r="F178" s="374" t="s">
        <v>110</v>
      </c>
    </row>
    <row r="179" spans="1:6" x14ac:dyDescent="0.25">
      <c r="C179" s="386"/>
      <c r="D179" s="387"/>
      <c r="E179" s="373" t="s">
        <v>43</v>
      </c>
      <c r="F179" s="375"/>
    </row>
    <row r="180" spans="1:6" ht="26.4" x14ac:dyDescent="0.25">
      <c r="C180" s="21" t="s">
        <v>243</v>
      </c>
      <c r="D180" s="13" t="s">
        <v>267</v>
      </c>
      <c r="E180" s="270">
        <f>E105</f>
        <v>96998574.634466663</v>
      </c>
      <c r="F180" s="282">
        <f>E180*F174</f>
        <v>290995723.9034</v>
      </c>
    </row>
    <row r="181" spans="1:6" x14ac:dyDescent="0.25">
      <c r="C181" s="21" t="s">
        <v>103</v>
      </c>
      <c r="D181" s="13" t="s">
        <v>268</v>
      </c>
      <c r="E181" s="270">
        <f>E162</f>
        <v>40563068.618366666</v>
      </c>
      <c r="F181" s="282">
        <f>E181*F174</f>
        <v>121689205.85510001</v>
      </c>
    </row>
    <row r="182" spans="1:6" x14ac:dyDescent="0.25">
      <c r="C182" s="21" t="s">
        <v>8</v>
      </c>
      <c r="D182" s="13" t="s">
        <v>248</v>
      </c>
      <c r="E182" s="270">
        <f>E169</f>
        <v>7834772.1680350574</v>
      </c>
      <c r="F182" s="282">
        <f>E169+E170</f>
        <v>15565425.532556834</v>
      </c>
    </row>
    <row r="183" spans="1:6" x14ac:dyDescent="0.25">
      <c r="C183" s="21" t="s">
        <v>154</v>
      </c>
      <c r="D183" s="13" t="s">
        <v>277</v>
      </c>
      <c r="E183" s="270">
        <f>((PROYECCIONES!F30*0.004)/12)</f>
        <v>630600</v>
      </c>
      <c r="F183" s="270">
        <f>E183*F174</f>
        <v>1891800</v>
      </c>
    </row>
    <row r="184" spans="1:6" x14ac:dyDescent="0.25">
      <c r="C184" s="21" t="s">
        <v>245</v>
      </c>
      <c r="D184" s="13" t="s">
        <v>266</v>
      </c>
      <c r="E184" s="270">
        <f>(E139+E131+E130+E129+E128+E127+E87+E88+E89+E90+E91)</f>
        <v>3966666.6666666665</v>
      </c>
      <c r="F184" s="270">
        <f>E184*F174</f>
        <v>11900000</v>
      </c>
    </row>
    <row r="185" spans="1:6" x14ac:dyDescent="0.25">
      <c r="C185" s="381" t="s">
        <v>2</v>
      </c>
      <c r="D185" s="382"/>
      <c r="E185" s="269">
        <f>SUM(E180:E183)-E184</f>
        <v>142060348.75420174</v>
      </c>
      <c r="F185" s="269">
        <f>SUM(F180:F183)-F184</f>
        <v>418242155.29105681</v>
      </c>
    </row>
    <row r="189" spans="1:6" x14ac:dyDescent="0.25">
      <c r="A189" s="5" t="s">
        <v>24</v>
      </c>
      <c r="B189" s="63">
        <v>23</v>
      </c>
      <c r="C189" s="388" t="s">
        <v>112</v>
      </c>
      <c r="D189" s="388"/>
    </row>
    <row r="190" spans="1:6" x14ac:dyDescent="0.25">
      <c r="C190" s="372" t="s">
        <v>113</v>
      </c>
      <c r="D190" s="385"/>
      <c r="E190" s="374" t="s">
        <v>114</v>
      </c>
    </row>
    <row r="191" spans="1:6" x14ac:dyDescent="0.25">
      <c r="C191" s="386"/>
      <c r="D191" s="387"/>
      <c r="E191" s="375" t="s">
        <v>43</v>
      </c>
    </row>
    <row r="192" spans="1:6" x14ac:dyDescent="0.25">
      <c r="C192" s="21" t="s">
        <v>27</v>
      </c>
      <c r="D192" s="13" t="s">
        <v>247</v>
      </c>
      <c r="E192" s="270">
        <f>'INVERSIONES '!D96</f>
        <v>280150000</v>
      </c>
    </row>
    <row r="193" spans="1:7" x14ac:dyDescent="0.25">
      <c r="C193" s="21" t="s">
        <v>115</v>
      </c>
      <c r="D193" s="13" t="s">
        <v>259</v>
      </c>
      <c r="E193" s="270">
        <f>'INVERSIONES '!D110</f>
        <v>24800000</v>
      </c>
    </row>
    <row r="194" spans="1:7" x14ac:dyDescent="0.25">
      <c r="C194" s="21" t="s">
        <v>151</v>
      </c>
      <c r="D194" s="13" t="s">
        <v>269</v>
      </c>
      <c r="E194" s="270">
        <f>F185</f>
        <v>418242155.29105681</v>
      </c>
    </row>
    <row r="195" spans="1:7" x14ac:dyDescent="0.25">
      <c r="C195" s="381" t="s">
        <v>2</v>
      </c>
      <c r="D195" s="382"/>
      <c r="E195" s="269">
        <f>SUM(E192:E194)</f>
        <v>723192155.29105687</v>
      </c>
    </row>
    <row r="199" spans="1:7" x14ac:dyDescent="0.25">
      <c r="G199" s="10"/>
    </row>
    <row r="200" spans="1:7" x14ac:dyDescent="0.25">
      <c r="A200" s="5" t="s">
        <v>24</v>
      </c>
      <c r="B200" s="5">
        <v>24</v>
      </c>
      <c r="C200" s="207" t="s">
        <v>112</v>
      </c>
      <c r="D200" s="270">
        <f>E195</f>
        <v>723192155.29105687</v>
      </c>
      <c r="E200" s="370" t="s">
        <v>270</v>
      </c>
      <c r="F200" s="370"/>
      <c r="G200" s="10"/>
    </row>
    <row r="201" spans="1:7" x14ac:dyDescent="0.25">
      <c r="C201" s="21" t="s">
        <v>156</v>
      </c>
      <c r="D201" s="16">
        <v>100000000</v>
      </c>
      <c r="E201" s="288">
        <f>D201/E195</f>
        <v>0.13827583619149444</v>
      </c>
      <c r="F201" s="29" t="s">
        <v>201</v>
      </c>
    </row>
    <row r="202" spans="1:7" x14ac:dyDescent="0.25">
      <c r="C202" s="21" t="s">
        <v>157</v>
      </c>
      <c r="D202" s="269">
        <f>E195-D201</f>
        <v>623192155.29105687</v>
      </c>
      <c r="E202" s="288">
        <f>D202/E195</f>
        <v>0.86172416380850558</v>
      </c>
      <c r="F202" s="29" t="s">
        <v>202</v>
      </c>
    </row>
    <row r="203" spans="1:7" x14ac:dyDescent="0.25">
      <c r="D203" s="6"/>
    </row>
  </sheetData>
  <mergeCells count="85">
    <mergeCell ref="F83:F84"/>
    <mergeCell ref="F29:F30"/>
    <mergeCell ref="F100:F101"/>
    <mergeCell ref="F157:F158"/>
    <mergeCell ref="E29:E30"/>
    <mergeCell ref="E59:E60"/>
    <mergeCell ref="C82:E82"/>
    <mergeCell ref="F146:F147"/>
    <mergeCell ref="E100:E101"/>
    <mergeCell ref="C110:C111"/>
    <mergeCell ref="E123:E124"/>
    <mergeCell ref="C7:D7"/>
    <mergeCell ref="C8:D8"/>
    <mergeCell ref="C9:D9"/>
    <mergeCell ref="C10:D10"/>
    <mergeCell ref="C11:D11"/>
    <mergeCell ref="G29:G30"/>
    <mergeCell ref="C99:D99"/>
    <mergeCell ref="C12:D12"/>
    <mergeCell ref="C146:C147"/>
    <mergeCell ref="D146:D147"/>
    <mergeCell ref="C83:D84"/>
    <mergeCell ref="D110:D111"/>
    <mergeCell ref="C109:D109"/>
    <mergeCell ref="C74:D74"/>
    <mergeCell ref="E83:E84"/>
    <mergeCell ref="C95:D95"/>
    <mergeCell ref="E19:E20"/>
    <mergeCell ref="C14:D14"/>
    <mergeCell ref="D19:D20"/>
    <mergeCell ref="C100:D101"/>
    <mergeCell ref="C105:D105"/>
    <mergeCell ref="I59:I60"/>
    <mergeCell ref="F59:F60"/>
    <mergeCell ref="G59:G60"/>
    <mergeCell ref="J59:J60"/>
    <mergeCell ref="E49:F49"/>
    <mergeCell ref="G146:G147"/>
    <mergeCell ref="E190:E191"/>
    <mergeCell ref="C122:D122"/>
    <mergeCell ref="C185:D185"/>
    <mergeCell ref="E146:E147"/>
    <mergeCell ref="C178:D179"/>
    <mergeCell ref="C123:D124"/>
    <mergeCell ref="C162:D162"/>
    <mergeCell ref="C177:D177"/>
    <mergeCell ref="C157:D158"/>
    <mergeCell ref="C156:D156"/>
    <mergeCell ref="E178:E179"/>
    <mergeCell ref="F178:F179"/>
    <mergeCell ref="E167:E168"/>
    <mergeCell ref="C167:D168"/>
    <mergeCell ref="C166:D166"/>
    <mergeCell ref="C6:D6"/>
    <mergeCell ref="C29:D30"/>
    <mergeCell ref="C59:C60"/>
    <mergeCell ref="J19:J20"/>
    <mergeCell ref="H19:I19"/>
    <mergeCell ref="C19:C20"/>
    <mergeCell ref="G19:G20"/>
    <mergeCell ref="C13:D13"/>
    <mergeCell ref="F19:F20"/>
    <mergeCell ref="H59:H60"/>
    <mergeCell ref="C40:C41"/>
    <mergeCell ref="C49:C50"/>
    <mergeCell ref="J29:J30"/>
    <mergeCell ref="C36:D36"/>
    <mergeCell ref="I29:I30"/>
    <mergeCell ref="H29:H30"/>
    <mergeCell ref="E200:F200"/>
    <mergeCell ref="D40:E40"/>
    <mergeCell ref="D59:D60"/>
    <mergeCell ref="J110:J111"/>
    <mergeCell ref="F123:F124"/>
    <mergeCell ref="H110:I110"/>
    <mergeCell ref="H146:I146"/>
    <mergeCell ref="J146:J147"/>
    <mergeCell ref="E110:E111"/>
    <mergeCell ref="E157:E158"/>
    <mergeCell ref="C195:D195"/>
    <mergeCell ref="F110:F111"/>
    <mergeCell ref="G110:G111"/>
    <mergeCell ref="C141:D141"/>
    <mergeCell ref="C190:D191"/>
    <mergeCell ref="C189:D189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830A-C885-4802-BC01-8E055D04B088}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Q116"/>
  <sheetViews>
    <sheetView showGridLines="0" zoomScale="90" zoomScaleNormal="90" workbookViewId="0">
      <selection activeCell="L19" sqref="L19:P19"/>
    </sheetView>
  </sheetViews>
  <sheetFormatPr baseColWidth="10" defaultColWidth="11.44140625" defaultRowHeight="13.2" x14ac:dyDescent="0.25"/>
  <cols>
    <col min="1" max="1" width="7.33203125" customWidth="1"/>
    <col min="2" max="2" width="3" customWidth="1"/>
    <col min="3" max="3" width="8.44140625" customWidth="1"/>
    <col min="4" max="4" width="15.5546875" customWidth="1"/>
    <col min="5" max="5" width="16" customWidth="1"/>
    <col min="6" max="6" width="16.44140625" customWidth="1"/>
    <col min="7" max="7" width="19" customWidth="1"/>
    <col min="8" max="8" width="8.88671875" customWidth="1"/>
    <col min="9" max="9" width="6.5546875" customWidth="1"/>
    <col min="10" max="10" width="7.5546875" customWidth="1"/>
    <col min="11" max="11" width="3.6640625" customWidth="1"/>
    <col min="12" max="12" width="11.5546875" bestFit="1" customWidth="1"/>
    <col min="13" max="13" width="15.88671875" customWidth="1"/>
    <col min="14" max="14" width="16.5546875" customWidth="1"/>
    <col min="15" max="15" width="18.33203125" customWidth="1"/>
    <col min="16" max="16" width="18.5546875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x14ac:dyDescent="0.25">
      <c r="A3" s="5" t="s">
        <v>24</v>
      </c>
      <c r="B3" s="31">
        <v>25</v>
      </c>
      <c r="C3" s="5" t="s">
        <v>104</v>
      </c>
      <c r="D3" s="5"/>
      <c r="E3" s="4"/>
      <c r="F3" s="4"/>
      <c r="G3" s="4"/>
      <c r="H3" s="10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4"/>
      <c r="B4" s="4"/>
      <c r="C4" s="4"/>
      <c r="D4" s="4"/>
      <c r="E4" s="4"/>
      <c r="F4" s="4"/>
      <c r="G4" s="4"/>
      <c r="H4" s="10"/>
      <c r="I4" s="5"/>
      <c r="J4" s="5"/>
      <c r="K4" s="5"/>
      <c r="L4" s="5"/>
      <c r="M4" s="4"/>
      <c r="N4" s="4"/>
      <c r="O4" s="4"/>
      <c r="P4" s="4"/>
      <c r="Q4" s="4"/>
    </row>
    <row r="5" spans="1:17" x14ac:dyDescent="0.25">
      <c r="A5" s="4"/>
      <c r="B5" s="4"/>
      <c r="C5" s="4"/>
      <c r="D5" s="396" t="s">
        <v>58</v>
      </c>
      <c r="E5" s="396"/>
      <c r="F5" s="290">
        <f>'COSTOS Y GASTOS'!D202</f>
        <v>623192155.29105687</v>
      </c>
      <c r="G5" s="4"/>
      <c r="H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4"/>
      <c r="B6" s="4"/>
      <c r="C6" s="4"/>
      <c r="D6" s="396" t="s">
        <v>59</v>
      </c>
      <c r="E6" s="396"/>
      <c r="F6" s="208">
        <v>48</v>
      </c>
      <c r="G6" s="4" t="s">
        <v>61</v>
      </c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4"/>
      <c r="B7" s="4"/>
      <c r="C7" s="4"/>
      <c r="D7" s="396" t="s">
        <v>60</v>
      </c>
      <c r="E7" s="396"/>
      <c r="F7" s="209">
        <v>1.7999999999999999E-2</v>
      </c>
      <c r="G7" s="4" t="s">
        <v>62</v>
      </c>
      <c r="H7" s="292">
        <f>((1+F7)^12)-1</f>
        <v>0.23872053157552808</v>
      </c>
      <c r="I7" s="4" t="s">
        <v>189</v>
      </c>
      <c r="K7" s="4"/>
      <c r="L7" s="4"/>
      <c r="M7" s="4"/>
      <c r="N7" s="4"/>
      <c r="O7" s="4"/>
      <c r="P7" s="4"/>
      <c r="Q7" s="4"/>
    </row>
    <row r="8" spans="1:17" x14ac:dyDescent="0.25">
      <c r="A8" s="4"/>
      <c r="B8" s="4"/>
      <c r="C8" s="4"/>
      <c r="D8" s="396" t="s">
        <v>64</v>
      </c>
      <c r="E8" s="396"/>
      <c r="F8" s="291">
        <f>-PMT(F7,F6,F5)</f>
        <v>19499259.487860925</v>
      </c>
      <c r="G8" s="4" t="s">
        <v>62</v>
      </c>
      <c r="H8" s="4"/>
      <c r="I8" s="4"/>
      <c r="J8" s="4"/>
      <c r="K8" s="4"/>
      <c r="N8" s="4"/>
      <c r="O8" s="4"/>
      <c r="P8" s="4"/>
      <c r="Q8" s="4"/>
    </row>
    <row r="9" spans="1:1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4"/>
      <c r="B10" s="4"/>
      <c r="C10" s="10"/>
      <c r="D10" s="10"/>
      <c r="E10" s="10"/>
      <c r="F10" s="10"/>
      <c r="G10" s="10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4"/>
      <c r="B12" s="4"/>
      <c r="C12" s="289" t="s">
        <v>63</v>
      </c>
      <c r="D12" s="289" t="s">
        <v>65</v>
      </c>
      <c r="E12" s="289" t="s">
        <v>66</v>
      </c>
      <c r="F12" s="289" t="s">
        <v>67</v>
      </c>
      <c r="G12" s="289" t="s">
        <v>68</v>
      </c>
      <c r="H12" s="4"/>
      <c r="I12" s="4"/>
      <c r="J12" s="5" t="s">
        <v>24</v>
      </c>
      <c r="K12" s="31">
        <f>B3+1</f>
        <v>26</v>
      </c>
      <c r="L12" s="5" t="s">
        <v>105</v>
      </c>
      <c r="M12" s="4"/>
      <c r="N12" s="4"/>
      <c r="O12" s="4"/>
      <c r="P12" s="4"/>
      <c r="Q12" s="4"/>
    </row>
    <row r="13" spans="1:17" x14ac:dyDescent="0.25">
      <c r="A13" s="4"/>
      <c r="B13" s="4"/>
      <c r="C13" s="56">
        <v>0</v>
      </c>
      <c r="D13" s="14"/>
      <c r="E13" s="14"/>
      <c r="F13" s="14"/>
      <c r="G13" s="167">
        <f>F5</f>
        <v>623192155.29105687</v>
      </c>
      <c r="H13" s="4"/>
      <c r="I13" s="4"/>
      <c r="J13" s="4"/>
      <c r="K13" s="4"/>
      <c r="L13" s="289" t="s">
        <v>69</v>
      </c>
      <c r="M13" s="289" t="s">
        <v>70</v>
      </c>
      <c r="N13" s="289" t="s">
        <v>66</v>
      </c>
      <c r="O13" s="289" t="s">
        <v>67</v>
      </c>
      <c r="P13" s="289" t="s">
        <v>68</v>
      </c>
      <c r="Q13" s="4"/>
    </row>
    <row r="14" spans="1:17" x14ac:dyDescent="0.25">
      <c r="A14" s="4"/>
      <c r="B14" s="4"/>
      <c r="C14" s="56">
        <f>C13+1</f>
        <v>1</v>
      </c>
      <c r="D14" s="168">
        <f>F8</f>
        <v>19499259.487860925</v>
      </c>
      <c r="E14" s="167">
        <f>G13*$F$7</f>
        <v>11217458.795239022</v>
      </c>
      <c r="F14" s="167">
        <f>D14-E14</f>
        <v>8281800.6926219035</v>
      </c>
      <c r="G14" s="167">
        <f>G13-F14</f>
        <v>614910354.59843493</v>
      </c>
      <c r="H14" s="4"/>
      <c r="I14" s="4"/>
      <c r="J14" s="4"/>
      <c r="K14" s="4"/>
      <c r="L14" s="56">
        <v>1</v>
      </c>
      <c r="M14" s="168">
        <f>SUM(D14:D25)</f>
        <v>233991113.85433105</v>
      </c>
      <c r="N14" s="167">
        <f>SUM(E14:E25)</f>
        <v>124155788.09070462</v>
      </c>
      <c r="O14" s="167">
        <f>SUM(F14:F25)</f>
        <v>109835325.7636265</v>
      </c>
      <c r="P14" s="167">
        <f>G25</f>
        <v>513356829.52743036</v>
      </c>
      <c r="Q14" s="4"/>
    </row>
    <row r="15" spans="1:17" x14ac:dyDescent="0.25">
      <c r="A15" s="4"/>
      <c r="B15" s="4"/>
      <c r="C15" s="56">
        <f t="shared" ref="C15:C73" si="0">C14+1</f>
        <v>2</v>
      </c>
      <c r="D15" s="168">
        <f>D14</f>
        <v>19499259.487860925</v>
      </c>
      <c r="E15" s="167">
        <f t="shared" ref="E15:E73" si="1">G14*$F$7</f>
        <v>11068386.382771827</v>
      </c>
      <c r="F15" s="167">
        <f t="shared" ref="F15:F73" si="2">D15-E15</f>
        <v>8430873.1050890982</v>
      </c>
      <c r="G15" s="167">
        <f t="shared" ref="G15:G73" si="3">G14-F15</f>
        <v>606479481.49334586</v>
      </c>
      <c r="H15" s="4"/>
      <c r="I15" s="4"/>
      <c r="J15" s="4"/>
      <c r="K15" s="4"/>
      <c r="L15" s="56">
        <f>L14+1</f>
        <v>2</v>
      </c>
      <c r="M15" s="168">
        <f>M14</f>
        <v>233991113.85433105</v>
      </c>
      <c r="N15" s="167">
        <f>SUM(E26:E37)</f>
        <v>97935840.738640428</v>
      </c>
      <c r="O15" s="167">
        <f>M15-N15</f>
        <v>136055273.11569062</v>
      </c>
      <c r="P15" s="167">
        <f>G37</f>
        <v>377301556.41173971</v>
      </c>
      <c r="Q15" s="4"/>
    </row>
    <row r="16" spans="1:17" x14ac:dyDescent="0.25">
      <c r="A16" s="4"/>
      <c r="B16" s="4"/>
      <c r="C16" s="56">
        <f t="shared" si="0"/>
        <v>3</v>
      </c>
      <c r="D16" s="168">
        <f t="shared" ref="D16:D73" si="4">D15</f>
        <v>19499259.487860925</v>
      </c>
      <c r="E16" s="167">
        <f t="shared" si="1"/>
        <v>10916630.666880224</v>
      </c>
      <c r="F16" s="167">
        <f t="shared" si="2"/>
        <v>8582628.8209807016</v>
      </c>
      <c r="G16" s="167">
        <f t="shared" si="3"/>
        <v>597896852.67236519</v>
      </c>
      <c r="H16" s="4"/>
      <c r="I16" s="4"/>
      <c r="J16" s="4"/>
      <c r="K16" s="4"/>
      <c r="L16" s="56">
        <f>L15+1</f>
        <v>3</v>
      </c>
      <c r="M16" s="168">
        <f>M15</f>
        <v>233991113.85433105</v>
      </c>
      <c r="N16" s="167">
        <f>SUM(E38:E49)</f>
        <v>65456653.6168091</v>
      </c>
      <c r="O16" s="167">
        <f>M16-N16</f>
        <v>168534460.23752195</v>
      </c>
      <c r="P16" s="167">
        <f>G49</f>
        <v>208767096.17421764</v>
      </c>
      <c r="Q16" s="4"/>
    </row>
    <row r="17" spans="1:17" x14ac:dyDescent="0.25">
      <c r="A17" s="4"/>
      <c r="B17" s="4"/>
      <c r="C17" s="56">
        <f t="shared" si="0"/>
        <v>4</v>
      </c>
      <c r="D17" s="168">
        <f t="shared" si="4"/>
        <v>19499259.487860925</v>
      </c>
      <c r="E17" s="167">
        <f t="shared" si="1"/>
        <v>10762143.348102573</v>
      </c>
      <c r="F17" s="167">
        <f t="shared" si="2"/>
        <v>8737116.1397583522</v>
      </c>
      <c r="G17" s="167">
        <f t="shared" si="3"/>
        <v>589159736.53260684</v>
      </c>
      <c r="H17" s="4"/>
      <c r="I17" s="4"/>
      <c r="J17" s="4"/>
      <c r="K17" s="4"/>
      <c r="L17" s="56">
        <f>L16+1</f>
        <v>4</v>
      </c>
      <c r="M17" s="168">
        <f>M16</f>
        <v>233991113.85433105</v>
      </c>
      <c r="N17" s="167">
        <f>SUM(E50:E61)</f>
        <v>25224017.680113167</v>
      </c>
      <c r="O17" s="167">
        <f>M17-N17</f>
        <v>208767096.17421788</v>
      </c>
      <c r="P17" s="167">
        <f>G61</f>
        <v>-2.9802322387695313E-7</v>
      </c>
      <c r="Q17" s="4"/>
    </row>
    <row r="18" spans="1:17" x14ac:dyDescent="0.25">
      <c r="A18" s="4"/>
      <c r="B18" s="4"/>
      <c r="C18" s="56">
        <f t="shared" si="0"/>
        <v>5</v>
      </c>
      <c r="D18" s="168">
        <f t="shared" si="4"/>
        <v>19499259.487860925</v>
      </c>
      <c r="E18" s="167">
        <f t="shared" si="1"/>
        <v>10604875.257586922</v>
      </c>
      <c r="F18" s="167">
        <f t="shared" si="2"/>
        <v>8894384.230274003</v>
      </c>
      <c r="G18" s="167">
        <f t="shared" si="3"/>
        <v>580265352.30233288</v>
      </c>
      <c r="H18" s="4"/>
      <c r="I18" s="4"/>
      <c r="J18" s="4"/>
      <c r="K18" s="4"/>
      <c r="L18" s="56">
        <f>L17+1</f>
        <v>5</v>
      </c>
      <c r="M18" s="168">
        <v>0</v>
      </c>
      <c r="N18" s="167">
        <f>SUM(E62:E73)</f>
        <v>-7.1144262425758824E-8</v>
      </c>
      <c r="O18" s="167">
        <f>M18-N18</f>
        <v>7.1144262425758824E-8</v>
      </c>
      <c r="P18" s="167">
        <f>G73</f>
        <v>-3.691674863027119E-7</v>
      </c>
      <c r="Q18" s="4"/>
    </row>
    <row r="19" spans="1:17" x14ac:dyDescent="0.25">
      <c r="A19" s="4"/>
      <c r="B19" s="4"/>
      <c r="C19" s="56">
        <f t="shared" si="0"/>
        <v>6</v>
      </c>
      <c r="D19" s="168">
        <f t="shared" si="4"/>
        <v>19499259.487860925</v>
      </c>
      <c r="E19" s="167">
        <f t="shared" si="1"/>
        <v>10444776.341441991</v>
      </c>
      <c r="F19" s="167">
        <f t="shared" si="2"/>
        <v>9054483.1464189347</v>
      </c>
      <c r="G19" s="167">
        <f t="shared" si="3"/>
        <v>571210869.15591395</v>
      </c>
      <c r="H19" s="4"/>
      <c r="I19" s="4"/>
      <c r="J19" s="4"/>
      <c r="K19" s="4"/>
      <c r="L19" s="294" t="s">
        <v>2</v>
      </c>
      <c r="M19" s="295">
        <f>SUM(M14:M18)</f>
        <v>935964455.41732419</v>
      </c>
      <c r="N19" s="295">
        <f>SUM(N14:N18)</f>
        <v>312772300.12626725</v>
      </c>
      <c r="O19" s="295">
        <f>SUM(O14:O18)</f>
        <v>623192155.29105699</v>
      </c>
      <c r="P19" s="296"/>
      <c r="Q19" s="4"/>
    </row>
    <row r="20" spans="1:17" x14ac:dyDescent="0.25">
      <c r="A20" s="4"/>
      <c r="B20" s="4"/>
      <c r="C20" s="56">
        <f t="shared" si="0"/>
        <v>7</v>
      </c>
      <c r="D20" s="168">
        <f t="shared" si="4"/>
        <v>19499259.487860925</v>
      </c>
      <c r="E20" s="167">
        <f t="shared" si="1"/>
        <v>10281795.64480645</v>
      </c>
      <c r="F20" s="167">
        <f t="shared" si="2"/>
        <v>9217463.8430544753</v>
      </c>
      <c r="G20" s="167">
        <f t="shared" si="3"/>
        <v>561993405.31285942</v>
      </c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B21" s="4"/>
      <c r="C21" s="56">
        <f t="shared" si="0"/>
        <v>8</v>
      </c>
      <c r="D21" s="168">
        <f t="shared" si="4"/>
        <v>19499259.487860925</v>
      </c>
      <c r="E21" s="167">
        <f t="shared" si="1"/>
        <v>10115881.295631468</v>
      </c>
      <c r="F21" s="167">
        <f t="shared" si="2"/>
        <v>9383378.1922294572</v>
      </c>
      <c r="G21" s="167">
        <f t="shared" si="3"/>
        <v>552610027.12062991</v>
      </c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B22" s="4"/>
      <c r="C22" s="56">
        <f t="shared" si="0"/>
        <v>9</v>
      </c>
      <c r="D22" s="168">
        <f t="shared" si="4"/>
        <v>19499259.487860925</v>
      </c>
      <c r="E22" s="167">
        <f t="shared" si="1"/>
        <v>9946980.4881713372</v>
      </c>
      <c r="F22" s="167">
        <f t="shared" si="2"/>
        <v>9552278.9996895883</v>
      </c>
      <c r="G22" s="167">
        <f t="shared" si="3"/>
        <v>543057748.12094033</v>
      </c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B23" s="4"/>
      <c r="C23" s="56">
        <f t="shared" si="0"/>
        <v>10</v>
      </c>
      <c r="D23" s="168">
        <f t="shared" si="4"/>
        <v>19499259.487860925</v>
      </c>
      <c r="E23" s="167">
        <f t="shared" si="1"/>
        <v>9775039.4661769252</v>
      </c>
      <c r="F23" s="167">
        <f t="shared" si="2"/>
        <v>9724220.0216840003</v>
      </c>
      <c r="G23" s="167">
        <f t="shared" si="3"/>
        <v>533333528.09925634</v>
      </c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B24" s="4"/>
      <c r="C24" s="56">
        <f t="shared" si="0"/>
        <v>11</v>
      </c>
      <c r="D24" s="168">
        <f t="shared" si="4"/>
        <v>19499259.487860925</v>
      </c>
      <c r="E24" s="167">
        <f t="shared" si="1"/>
        <v>9600003.5057866126</v>
      </c>
      <c r="F24" s="167">
        <f t="shared" si="2"/>
        <v>9899255.9820743129</v>
      </c>
      <c r="G24" s="167">
        <f t="shared" si="3"/>
        <v>523434272.11718202</v>
      </c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B25" s="4"/>
      <c r="C25" s="56">
        <f t="shared" si="0"/>
        <v>12</v>
      </c>
      <c r="D25" s="168">
        <f t="shared" si="4"/>
        <v>19499259.487860925</v>
      </c>
      <c r="E25" s="167">
        <f t="shared" si="1"/>
        <v>9421816.8981092758</v>
      </c>
      <c r="F25" s="167">
        <f t="shared" si="2"/>
        <v>10077442.58975165</v>
      </c>
      <c r="G25" s="167">
        <f t="shared" si="3"/>
        <v>513356829.52743036</v>
      </c>
      <c r="H25" s="4"/>
      <c r="I25" s="4"/>
      <c r="J25" s="4"/>
      <c r="K25" s="4"/>
      <c r="L25" s="4"/>
      <c r="M25" s="245"/>
      <c r="N25" s="4"/>
      <c r="O25" s="4"/>
      <c r="P25" s="4"/>
      <c r="Q25" s="4"/>
    </row>
    <row r="26" spans="1:17" x14ac:dyDescent="0.25">
      <c r="A26" s="4"/>
      <c r="B26" s="4"/>
      <c r="C26" s="56">
        <f t="shared" si="0"/>
        <v>13</v>
      </c>
      <c r="D26" s="168">
        <f t="shared" si="4"/>
        <v>19499259.487860925</v>
      </c>
      <c r="E26" s="167">
        <f t="shared" si="1"/>
        <v>9240422.9314937461</v>
      </c>
      <c r="F26" s="167">
        <f t="shared" si="2"/>
        <v>10258836.556367179</v>
      </c>
      <c r="G26" s="167">
        <f t="shared" si="3"/>
        <v>503097992.9710632</v>
      </c>
      <c r="H26" s="4"/>
      <c r="I26" s="4"/>
      <c r="J26" s="4"/>
      <c r="K26" s="4"/>
      <c r="L26" s="4"/>
      <c r="M26" s="4"/>
      <c r="N26" s="169"/>
      <c r="O26" s="4"/>
      <c r="P26" s="4"/>
      <c r="Q26" s="4"/>
    </row>
    <row r="27" spans="1:17" x14ac:dyDescent="0.25">
      <c r="A27" s="4"/>
      <c r="B27" s="4"/>
      <c r="C27" s="56">
        <f t="shared" si="0"/>
        <v>14</v>
      </c>
      <c r="D27" s="168">
        <f t="shared" si="4"/>
        <v>19499259.487860925</v>
      </c>
      <c r="E27" s="167">
        <f t="shared" si="1"/>
        <v>9055763.8734791372</v>
      </c>
      <c r="F27" s="167">
        <f t="shared" si="2"/>
        <v>10443495.614381788</v>
      </c>
      <c r="G27" s="167">
        <f t="shared" si="3"/>
        <v>492654497.35668141</v>
      </c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B28" s="4"/>
      <c r="C28" s="56">
        <f t="shared" si="0"/>
        <v>15</v>
      </c>
      <c r="D28" s="168">
        <f t="shared" si="4"/>
        <v>19499259.487860925</v>
      </c>
      <c r="E28" s="167">
        <f t="shared" si="1"/>
        <v>8867780.9524202645</v>
      </c>
      <c r="F28" s="167">
        <f t="shared" si="2"/>
        <v>10631478.535440661</v>
      </c>
      <c r="G28" s="167">
        <f t="shared" si="3"/>
        <v>482023018.82124072</v>
      </c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B29" s="4"/>
      <c r="C29" s="56">
        <f t="shared" si="0"/>
        <v>16</v>
      </c>
      <c r="D29" s="168">
        <f t="shared" si="4"/>
        <v>19499259.487860925</v>
      </c>
      <c r="E29" s="167">
        <f t="shared" si="1"/>
        <v>8676414.3387823328</v>
      </c>
      <c r="F29" s="167">
        <f t="shared" si="2"/>
        <v>10822845.149078593</v>
      </c>
      <c r="G29" s="167">
        <f t="shared" si="3"/>
        <v>471200173.67216212</v>
      </c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B30" s="4"/>
      <c r="C30" s="56">
        <f t="shared" si="0"/>
        <v>17</v>
      </c>
      <c r="D30" s="168">
        <f t="shared" si="4"/>
        <v>19499259.487860925</v>
      </c>
      <c r="E30" s="167">
        <f t="shared" si="1"/>
        <v>8481603.1260989178</v>
      </c>
      <c r="F30" s="167">
        <f t="shared" si="2"/>
        <v>11017656.361762008</v>
      </c>
      <c r="G30" s="167">
        <f t="shared" si="3"/>
        <v>460182517.31040013</v>
      </c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B31" s="4"/>
      <c r="C31" s="56">
        <f t="shared" si="0"/>
        <v>18</v>
      </c>
      <c r="D31" s="168">
        <f t="shared" si="4"/>
        <v>19499259.487860925</v>
      </c>
      <c r="E31" s="167">
        <f t="shared" si="1"/>
        <v>8283285.3115872014</v>
      </c>
      <c r="F31" s="167">
        <f t="shared" si="2"/>
        <v>11215974.176273724</v>
      </c>
      <c r="G31" s="167">
        <f t="shared" si="3"/>
        <v>448966543.13412642</v>
      </c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B32" s="4"/>
      <c r="C32" s="56">
        <f t="shared" si="0"/>
        <v>19</v>
      </c>
      <c r="D32" s="168">
        <f t="shared" si="4"/>
        <v>19499259.487860925</v>
      </c>
      <c r="E32" s="167">
        <f t="shared" si="1"/>
        <v>8081397.7764142752</v>
      </c>
      <c r="F32" s="167">
        <f t="shared" si="2"/>
        <v>11417861.71144665</v>
      </c>
      <c r="G32" s="167">
        <f t="shared" si="3"/>
        <v>437548681.42267978</v>
      </c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4"/>
      <c r="B33" s="4"/>
      <c r="C33" s="56">
        <f t="shared" si="0"/>
        <v>20</v>
      </c>
      <c r="D33" s="168">
        <f t="shared" si="4"/>
        <v>19499259.487860925</v>
      </c>
      <c r="E33" s="167">
        <f t="shared" si="1"/>
        <v>7875876.2656082353</v>
      </c>
      <c r="F33" s="167">
        <f t="shared" si="2"/>
        <v>11623383.222252689</v>
      </c>
      <c r="G33" s="167">
        <f t="shared" si="3"/>
        <v>425925298.20042711</v>
      </c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x14ac:dyDescent="0.25">
      <c r="A34" s="4"/>
      <c r="B34" s="4"/>
      <c r="C34" s="56">
        <f t="shared" si="0"/>
        <v>21</v>
      </c>
      <c r="D34" s="168">
        <f t="shared" si="4"/>
        <v>19499259.487860925</v>
      </c>
      <c r="E34" s="167">
        <f t="shared" si="1"/>
        <v>7666655.3676076876</v>
      </c>
      <c r="F34" s="167">
        <f t="shared" si="2"/>
        <v>11832604.120253239</v>
      </c>
      <c r="G34" s="167">
        <f t="shared" si="3"/>
        <v>414092694.08017385</v>
      </c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A35" s="4"/>
      <c r="B35" s="4"/>
      <c r="C35" s="56">
        <f t="shared" si="0"/>
        <v>22</v>
      </c>
      <c r="D35" s="168">
        <f t="shared" si="4"/>
        <v>19499259.487860925</v>
      </c>
      <c r="E35" s="167">
        <f t="shared" si="1"/>
        <v>7453668.4934431287</v>
      </c>
      <c r="F35" s="167">
        <f t="shared" si="2"/>
        <v>12045590.994417798</v>
      </c>
      <c r="G35" s="167">
        <f t="shared" si="3"/>
        <v>402047103.08575606</v>
      </c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A36" s="4"/>
      <c r="B36" s="4"/>
      <c r="C36" s="56">
        <f t="shared" si="0"/>
        <v>23</v>
      </c>
      <c r="D36" s="168">
        <f t="shared" si="4"/>
        <v>19499259.487860925</v>
      </c>
      <c r="E36" s="167">
        <f t="shared" si="1"/>
        <v>7236847.8555436088</v>
      </c>
      <c r="F36" s="167">
        <f t="shared" si="2"/>
        <v>12262411.632317316</v>
      </c>
      <c r="G36" s="167">
        <f t="shared" si="3"/>
        <v>389784691.45343876</v>
      </c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4"/>
      <c r="B37" s="4"/>
      <c r="C37" s="56">
        <f t="shared" si="0"/>
        <v>24</v>
      </c>
      <c r="D37" s="168">
        <f t="shared" si="4"/>
        <v>19499259.487860925</v>
      </c>
      <c r="E37" s="167">
        <f t="shared" si="1"/>
        <v>7016124.4461618969</v>
      </c>
      <c r="F37" s="167">
        <f t="shared" si="2"/>
        <v>12483135.04169903</v>
      </c>
      <c r="G37" s="167">
        <f t="shared" si="3"/>
        <v>377301556.41173971</v>
      </c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4"/>
      <c r="B38" s="4"/>
      <c r="C38" s="56">
        <f t="shared" si="0"/>
        <v>25</v>
      </c>
      <c r="D38" s="168">
        <f t="shared" si="4"/>
        <v>19499259.487860925</v>
      </c>
      <c r="E38" s="167">
        <f t="shared" si="1"/>
        <v>6791428.0154113146</v>
      </c>
      <c r="F38" s="167">
        <f t="shared" si="2"/>
        <v>12707831.472449612</v>
      </c>
      <c r="G38" s="167">
        <f t="shared" si="3"/>
        <v>364593724.93929011</v>
      </c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4"/>
      <c r="B39" s="4"/>
      <c r="C39" s="56">
        <f t="shared" si="0"/>
        <v>26</v>
      </c>
      <c r="D39" s="168">
        <f t="shared" si="4"/>
        <v>19499259.487860925</v>
      </c>
      <c r="E39" s="167">
        <f t="shared" si="1"/>
        <v>6562687.0489072213</v>
      </c>
      <c r="F39" s="167">
        <f t="shared" si="2"/>
        <v>12936572.438953705</v>
      </c>
      <c r="G39" s="167">
        <f t="shared" si="3"/>
        <v>351657152.50033641</v>
      </c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5">
      <c r="A40" s="4"/>
      <c r="B40" s="4"/>
      <c r="C40" s="56">
        <f t="shared" si="0"/>
        <v>27</v>
      </c>
      <c r="D40" s="168">
        <f t="shared" si="4"/>
        <v>19499259.487860925</v>
      </c>
      <c r="E40" s="167">
        <f t="shared" si="1"/>
        <v>6329828.7450060546</v>
      </c>
      <c r="F40" s="167">
        <f t="shared" si="2"/>
        <v>13169430.742854871</v>
      </c>
      <c r="G40" s="167">
        <f t="shared" si="3"/>
        <v>338487721.75748152</v>
      </c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x14ac:dyDescent="0.25">
      <c r="A41" s="4"/>
      <c r="B41" s="4"/>
      <c r="C41" s="56">
        <f t="shared" si="0"/>
        <v>28</v>
      </c>
      <c r="D41" s="168">
        <f t="shared" si="4"/>
        <v>19499259.487860925</v>
      </c>
      <c r="E41" s="167">
        <f t="shared" si="1"/>
        <v>6092778.9916346669</v>
      </c>
      <c r="F41" s="167">
        <f t="shared" si="2"/>
        <v>13406480.496226259</v>
      </c>
      <c r="G41" s="167">
        <f t="shared" si="3"/>
        <v>325081241.26125526</v>
      </c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25">
      <c r="A42" s="4"/>
      <c r="B42" s="4"/>
      <c r="C42" s="56">
        <f t="shared" si="0"/>
        <v>29</v>
      </c>
      <c r="D42" s="168">
        <f t="shared" si="4"/>
        <v>19499259.487860925</v>
      </c>
      <c r="E42" s="167">
        <f t="shared" si="1"/>
        <v>5851462.3427025946</v>
      </c>
      <c r="F42" s="167">
        <f t="shared" si="2"/>
        <v>13647797.145158332</v>
      </c>
      <c r="G42" s="167">
        <f t="shared" si="3"/>
        <v>311433444.11609691</v>
      </c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25">
      <c r="A43" s="4"/>
      <c r="B43" s="4"/>
      <c r="C43" s="56">
        <f t="shared" si="0"/>
        <v>30</v>
      </c>
      <c r="D43" s="168">
        <f t="shared" si="4"/>
        <v>19499259.487860925</v>
      </c>
      <c r="E43" s="167">
        <f t="shared" si="1"/>
        <v>5605801.9940897441</v>
      </c>
      <c r="F43" s="167">
        <f t="shared" si="2"/>
        <v>13893457.493771181</v>
      </c>
      <c r="G43" s="167">
        <f t="shared" si="3"/>
        <v>297539986.62232572</v>
      </c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25">
      <c r="A44" s="4"/>
      <c r="B44" s="4"/>
      <c r="C44" s="56">
        <f t="shared" si="0"/>
        <v>31</v>
      </c>
      <c r="D44" s="168">
        <f t="shared" si="4"/>
        <v>19499259.487860925</v>
      </c>
      <c r="E44" s="167">
        <f t="shared" si="1"/>
        <v>5355719.7592018628</v>
      </c>
      <c r="F44" s="167">
        <f t="shared" si="2"/>
        <v>14143539.728659064</v>
      </c>
      <c r="G44" s="167">
        <f t="shared" si="3"/>
        <v>283396446.89366663</v>
      </c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25">
      <c r="A45" s="4"/>
      <c r="B45" s="4"/>
      <c r="C45" s="56">
        <f t="shared" si="0"/>
        <v>32</v>
      </c>
      <c r="D45" s="168">
        <f t="shared" si="4"/>
        <v>19499259.487860925</v>
      </c>
      <c r="E45" s="167">
        <f t="shared" si="1"/>
        <v>5101136.044085999</v>
      </c>
      <c r="F45" s="167">
        <f t="shared" si="2"/>
        <v>14398123.443774927</v>
      </c>
      <c r="G45" s="167">
        <f t="shared" si="3"/>
        <v>268998323.44989169</v>
      </c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25">
      <c r="A46" s="4"/>
      <c r="B46" s="4"/>
      <c r="C46" s="56">
        <f t="shared" si="0"/>
        <v>33</v>
      </c>
      <c r="D46" s="168">
        <f t="shared" si="4"/>
        <v>19499259.487860925</v>
      </c>
      <c r="E46" s="167">
        <f t="shared" si="1"/>
        <v>4841969.8220980503</v>
      </c>
      <c r="F46" s="167">
        <f t="shared" si="2"/>
        <v>14657289.665762875</v>
      </c>
      <c r="G46" s="167">
        <f t="shared" si="3"/>
        <v>254341033.78412881</v>
      </c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25">
      <c r="A47" s="4"/>
      <c r="B47" s="4"/>
      <c r="C47" s="56">
        <f t="shared" si="0"/>
        <v>34</v>
      </c>
      <c r="D47" s="168">
        <f t="shared" si="4"/>
        <v>19499259.487860925</v>
      </c>
      <c r="E47" s="167">
        <f t="shared" si="1"/>
        <v>4578138.608114318</v>
      </c>
      <c r="F47" s="167">
        <f t="shared" si="2"/>
        <v>14921120.879746608</v>
      </c>
      <c r="G47" s="167">
        <f t="shared" si="3"/>
        <v>239419912.9043822</v>
      </c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4"/>
      <c r="B48" s="4"/>
      <c r="C48" s="56">
        <f t="shared" si="0"/>
        <v>35</v>
      </c>
      <c r="D48" s="168">
        <f t="shared" si="4"/>
        <v>19499259.487860925</v>
      </c>
      <c r="E48" s="167">
        <f t="shared" si="1"/>
        <v>4309558.432278879</v>
      </c>
      <c r="F48" s="167">
        <f t="shared" si="2"/>
        <v>15189701.055582047</v>
      </c>
      <c r="G48" s="167">
        <f t="shared" si="3"/>
        <v>224230211.84880015</v>
      </c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x14ac:dyDescent="0.25">
      <c r="A49" s="4"/>
      <c r="B49" s="4"/>
      <c r="C49" s="56">
        <f t="shared" si="0"/>
        <v>36</v>
      </c>
      <c r="D49" s="168">
        <f t="shared" si="4"/>
        <v>19499259.487860925</v>
      </c>
      <c r="E49" s="167">
        <f t="shared" si="1"/>
        <v>4036143.8132784027</v>
      </c>
      <c r="F49" s="167">
        <f t="shared" si="2"/>
        <v>15463115.674582522</v>
      </c>
      <c r="G49" s="167">
        <f t="shared" si="3"/>
        <v>208767096.17421764</v>
      </c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/>
      <c r="B50" s="4"/>
      <c r="C50" s="56">
        <f t="shared" si="0"/>
        <v>37</v>
      </c>
      <c r="D50" s="168">
        <f t="shared" si="4"/>
        <v>19499259.487860925</v>
      </c>
      <c r="E50" s="167">
        <f t="shared" si="1"/>
        <v>3757807.7311359174</v>
      </c>
      <c r="F50" s="167">
        <f t="shared" si="2"/>
        <v>15741451.756725008</v>
      </c>
      <c r="G50" s="167">
        <f t="shared" si="3"/>
        <v>193025644.41749263</v>
      </c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x14ac:dyDescent="0.25">
      <c r="A51" s="4"/>
      <c r="B51" s="4"/>
      <c r="C51" s="56">
        <f t="shared" si="0"/>
        <v>38</v>
      </c>
      <c r="D51" s="168">
        <f t="shared" si="4"/>
        <v>19499259.487860925</v>
      </c>
      <c r="E51" s="167">
        <f t="shared" si="1"/>
        <v>3474461.5995148672</v>
      </c>
      <c r="F51" s="167">
        <f t="shared" si="2"/>
        <v>16024797.888346057</v>
      </c>
      <c r="G51" s="167">
        <f t="shared" si="3"/>
        <v>177000846.52914658</v>
      </c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4"/>
      <c r="B52" s="4"/>
      <c r="C52" s="56">
        <f t="shared" si="0"/>
        <v>39</v>
      </c>
      <c r="D52" s="168">
        <f t="shared" si="4"/>
        <v>19499259.487860925</v>
      </c>
      <c r="E52" s="167">
        <f t="shared" si="1"/>
        <v>3186015.2375246384</v>
      </c>
      <c r="F52" s="167">
        <f t="shared" si="2"/>
        <v>16313244.250336288</v>
      </c>
      <c r="G52" s="167">
        <f t="shared" si="3"/>
        <v>160687602.27881029</v>
      </c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4"/>
      <c r="C53" s="56">
        <f t="shared" si="0"/>
        <v>40</v>
      </c>
      <c r="D53" s="168">
        <f t="shared" si="4"/>
        <v>19499259.487860925</v>
      </c>
      <c r="E53" s="167">
        <f t="shared" si="1"/>
        <v>2892376.841018585</v>
      </c>
      <c r="F53" s="167">
        <f t="shared" si="2"/>
        <v>16606882.64684234</v>
      </c>
      <c r="G53" s="167">
        <f t="shared" si="3"/>
        <v>144080719.63196796</v>
      </c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x14ac:dyDescent="0.25">
      <c r="A54" s="4"/>
      <c r="B54" s="4"/>
      <c r="C54" s="56">
        <f t="shared" si="0"/>
        <v>41</v>
      </c>
      <c r="D54" s="168">
        <f t="shared" si="4"/>
        <v>19499259.487860925</v>
      </c>
      <c r="E54" s="167">
        <f t="shared" si="1"/>
        <v>2593452.9533754233</v>
      </c>
      <c r="F54" s="167">
        <f t="shared" si="2"/>
        <v>16905806.534485504</v>
      </c>
      <c r="G54" s="167">
        <f t="shared" si="3"/>
        <v>127174913.09748246</v>
      </c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4"/>
      <c r="B55" s="4"/>
      <c r="C55" s="56">
        <f t="shared" si="0"/>
        <v>42</v>
      </c>
      <c r="D55" s="168">
        <f t="shared" si="4"/>
        <v>19499259.487860925</v>
      </c>
      <c r="E55" s="167">
        <f t="shared" si="1"/>
        <v>2289148.4357546843</v>
      </c>
      <c r="F55" s="167">
        <f t="shared" si="2"/>
        <v>17210111.052106243</v>
      </c>
      <c r="G55" s="167">
        <f t="shared" si="3"/>
        <v>109964802.04537621</v>
      </c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x14ac:dyDescent="0.25">
      <c r="A56" s="4"/>
      <c r="B56" s="4"/>
      <c r="C56" s="56">
        <f t="shared" si="0"/>
        <v>43</v>
      </c>
      <c r="D56" s="168">
        <f t="shared" si="4"/>
        <v>19499259.487860925</v>
      </c>
      <c r="E56" s="167">
        <f t="shared" si="1"/>
        <v>1979366.4368167717</v>
      </c>
      <c r="F56" s="167">
        <f t="shared" si="2"/>
        <v>17519893.051044155</v>
      </c>
      <c r="G56" s="167">
        <f t="shared" si="3"/>
        <v>92444908.99433206</v>
      </c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25">
      <c r="A57" s="4"/>
      <c r="B57" s="4"/>
      <c r="C57" s="56">
        <f t="shared" si="0"/>
        <v>44</v>
      </c>
      <c r="D57" s="168">
        <f t="shared" si="4"/>
        <v>19499259.487860925</v>
      </c>
      <c r="E57" s="167">
        <f t="shared" si="1"/>
        <v>1664008.3618979771</v>
      </c>
      <c r="F57" s="167">
        <f t="shared" si="2"/>
        <v>17835251.12596295</v>
      </c>
      <c r="G57" s="167">
        <f t="shared" si="3"/>
        <v>74609657.868369102</v>
      </c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A58" s="4"/>
      <c r="B58" s="4"/>
      <c r="C58" s="56">
        <f t="shared" si="0"/>
        <v>45</v>
      </c>
      <c r="D58" s="168">
        <f t="shared" si="4"/>
        <v>19499259.487860925</v>
      </c>
      <c r="E58" s="167">
        <f t="shared" si="1"/>
        <v>1342973.8416306437</v>
      </c>
      <c r="F58" s="167">
        <f t="shared" si="2"/>
        <v>18156285.64623028</v>
      </c>
      <c r="G58" s="167">
        <f t="shared" si="3"/>
        <v>56453372.222138822</v>
      </c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A59" s="4"/>
      <c r="B59" s="4"/>
      <c r="C59" s="56">
        <f t="shared" si="0"/>
        <v>46</v>
      </c>
      <c r="D59" s="168">
        <f t="shared" si="4"/>
        <v>19499259.487860925</v>
      </c>
      <c r="E59" s="167">
        <f t="shared" si="1"/>
        <v>1016160.6999984988</v>
      </c>
      <c r="F59" s="167">
        <f t="shared" si="2"/>
        <v>18483098.787862428</v>
      </c>
      <c r="G59" s="167">
        <f t="shared" si="3"/>
        <v>37970273.434276395</v>
      </c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25">
      <c r="A60" s="4"/>
      <c r="B60" s="4"/>
      <c r="C60" s="56">
        <f t="shared" si="0"/>
        <v>47</v>
      </c>
      <c r="D60" s="168">
        <f t="shared" si="4"/>
        <v>19499259.487860925</v>
      </c>
      <c r="E60" s="167">
        <f t="shared" si="1"/>
        <v>683464.92181697499</v>
      </c>
      <c r="F60" s="167">
        <f t="shared" si="2"/>
        <v>18815794.566043951</v>
      </c>
      <c r="G60" s="167">
        <f t="shared" si="3"/>
        <v>19154478.868232444</v>
      </c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25">
      <c r="A61" s="4"/>
      <c r="B61" s="4"/>
      <c r="C61" s="56">
        <f t="shared" si="0"/>
        <v>48</v>
      </c>
      <c r="D61" s="168">
        <f t="shared" si="4"/>
        <v>19499259.487860925</v>
      </c>
      <c r="E61" s="167">
        <f t="shared" si="1"/>
        <v>344780.61962818395</v>
      </c>
      <c r="F61" s="167">
        <f t="shared" si="2"/>
        <v>19154478.868232742</v>
      </c>
      <c r="G61" s="167">
        <f t="shared" si="3"/>
        <v>-2.9802322387695313E-7</v>
      </c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A62" s="4"/>
      <c r="B62" s="4"/>
      <c r="C62" s="56">
        <f t="shared" si="0"/>
        <v>49</v>
      </c>
      <c r="D62" s="168">
        <v>0</v>
      </c>
      <c r="E62" s="167">
        <f t="shared" si="1"/>
        <v>-5.3644180297851561E-9</v>
      </c>
      <c r="F62" s="167">
        <f t="shared" si="2"/>
        <v>5.3644180297851561E-9</v>
      </c>
      <c r="G62" s="167">
        <f t="shared" si="3"/>
        <v>-3.0338764190673827E-7</v>
      </c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A63" s="4"/>
      <c r="B63" s="4"/>
      <c r="C63" s="56">
        <f t="shared" si="0"/>
        <v>50</v>
      </c>
      <c r="D63" s="168">
        <f t="shared" si="4"/>
        <v>0</v>
      </c>
      <c r="E63" s="167">
        <f t="shared" si="1"/>
        <v>-5.4609775543212887E-9</v>
      </c>
      <c r="F63" s="167">
        <f t="shared" si="2"/>
        <v>5.4609775543212887E-9</v>
      </c>
      <c r="G63" s="167">
        <f t="shared" si="3"/>
        <v>-3.0884861946105955E-7</v>
      </c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x14ac:dyDescent="0.25">
      <c r="A64" s="4"/>
      <c r="B64" s="4"/>
      <c r="C64" s="56">
        <f t="shared" si="0"/>
        <v>51</v>
      </c>
      <c r="D64" s="168">
        <f t="shared" si="4"/>
        <v>0</v>
      </c>
      <c r="E64" s="167">
        <f t="shared" si="1"/>
        <v>-5.5592751502990717E-9</v>
      </c>
      <c r="F64" s="167">
        <f t="shared" si="2"/>
        <v>5.5592751502990717E-9</v>
      </c>
      <c r="G64" s="167">
        <f t="shared" si="3"/>
        <v>-3.1440789461135863E-7</v>
      </c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x14ac:dyDescent="0.25">
      <c r="A65" s="4"/>
      <c r="B65" s="4"/>
      <c r="C65" s="56">
        <f t="shared" si="0"/>
        <v>52</v>
      </c>
      <c r="D65" s="168">
        <f t="shared" si="4"/>
        <v>0</v>
      </c>
      <c r="E65" s="167">
        <f t="shared" si="1"/>
        <v>-5.6593421030044551E-9</v>
      </c>
      <c r="F65" s="167">
        <f t="shared" si="2"/>
        <v>5.6593421030044551E-9</v>
      </c>
      <c r="G65" s="167">
        <f t="shared" si="3"/>
        <v>-3.2006723671436309E-7</v>
      </c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x14ac:dyDescent="0.25">
      <c r="A66" s="4"/>
      <c r="B66" s="4"/>
      <c r="C66" s="56">
        <f t="shared" si="0"/>
        <v>53</v>
      </c>
      <c r="D66" s="168">
        <f t="shared" si="4"/>
        <v>0</v>
      </c>
      <c r="E66" s="167">
        <f t="shared" si="1"/>
        <v>-5.761210260858535E-9</v>
      </c>
      <c r="F66" s="167">
        <f t="shared" si="2"/>
        <v>5.761210260858535E-9</v>
      </c>
      <c r="G66" s="167">
        <f t="shared" si="3"/>
        <v>-3.2582844697522162E-7</v>
      </c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x14ac:dyDescent="0.25">
      <c r="A67" s="4"/>
      <c r="B67" s="4"/>
      <c r="C67" s="56">
        <f t="shared" si="0"/>
        <v>54</v>
      </c>
      <c r="D67" s="168">
        <f t="shared" si="4"/>
        <v>0</v>
      </c>
      <c r="E67" s="167">
        <f t="shared" si="1"/>
        <v>-5.8649120455539886E-9</v>
      </c>
      <c r="F67" s="167">
        <f t="shared" si="2"/>
        <v>5.8649120455539886E-9</v>
      </c>
      <c r="G67" s="167">
        <f t="shared" si="3"/>
        <v>-3.3169335902077558E-7</v>
      </c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x14ac:dyDescent="0.25">
      <c r="A68" s="4"/>
      <c r="B68" s="4"/>
      <c r="C68" s="56">
        <f t="shared" si="0"/>
        <v>55</v>
      </c>
      <c r="D68" s="168">
        <f t="shared" si="4"/>
        <v>0</v>
      </c>
      <c r="E68" s="167">
        <f t="shared" si="1"/>
        <v>-5.9704804623739602E-9</v>
      </c>
      <c r="F68" s="167">
        <f t="shared" si="2"/>
        <v>5.9704804623739602E-9</v>
      </c>
      <c r="G68" s="167">
        <f t="shared" si="3"/>
        <v>-3.3766383948314952E-7</v>
      </c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25">
      <c r="A69" s="4"/>
      <c r="B69" s="4"/>
      <c r="C69" s="56">
        <f t="shared" si="0"/>
        <v>56</v>
      </c>
      <c r="D69" s="168">
        <f t="shared" si="4"/>
        <v>0</v>
      </c>
      <c r="E69" s="167">
        <f t="shared" si="1"/>
        <v>-6.0779491106966913E-9</v>
      </c>
      <c r="F69" s="167">
        <f t="shared" si="2"/>
        <v>6.0779491106966913E-9</v>
      </c>
      <c r="G69" s="167">
        <f t="shared" si="3"/>
        <v>-3.4374178859384623E-7</v>
      </c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 x14ac:dyDescent="0.25">
      <c r="A70" s="4"/>
      <c r="B70" s="4"/>
      <c r="C70" s="56">
        <f t="shared" si="0"/>
        <v>57</v>
      </c>
      <c r="D70" s="168">
        <f t="shared" si="4"/>
        <v>0</v>
      </c>
      <c r="E70" s="167">
        <f t="shared" si="1"/>
        <v>-6.1873521946892317E-9</v>
      </c>
      <c r="F70" s="167">
        <f t="shared" si="2"/>
        <v>6.1873521946892317E-9</v>
      </c>
      <c r="G70" s="167">
        <f t="shared" si="3"/>
        <v>-3.4992914078853544E-7</v>
      </c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 x14ac:dyDescent="0.25">
      <c r="A71" s="4"/>
      <c r="B71" s="4"/>
      <c r="C71" s="56">
        <f t="shared" si="0"/>
        <v>58</v>
      </c>
      <c r="D71" s="168">
        <f t="shared" si="4"/>
        <v>0</v>
      </c>
      <c r="E71" s="167">
        <f t="shared" si="1"/>
        <v>-6.298724534193637E-9</v>
      </c>
      <c r="F71" s="167">
        <f t="shared" si="2"/>
        <v>6.298724534193637E-9</v>
      </c>
      <c r="G71" s="167">
        <f t="shared" si="3"/>
        <v>-3.5622786532272907E-7</v>
      </c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4"/>
      <c r="B72" s="4"/>
      <c r="C72" s="56">
        <f t="shared" si="0"/>
        <v>59</v>
      </c>
      <c r="D72" s="168">
        <f t="shared" si="4"/>
        <v>0</v>
      </c>
      <c r="E72" s="167">
        <f t="shared" si="1"/>
        <v>-6.4121015758091227E-9</v>
      </c>
      <c r="F72" s="167">
        <f t="shared" si="2"/>
        <v>6.4121015758091227E-9</v>
      </c>
      <c r="G72" s="167">
        <f t="shared" si="3"/>
        <v>-3.6263996689853822E-7</v>
      </c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x14ac:dyDescent="0.25">
      <c r="A73" s="4"/>
      <c r="B73" s="4"/>
      <c r="C73" s="56">
        <f t="shared" si="0"/>
        <v>60</v>
      </c>
      <c r="D73" s="168">
        <f t="shared" si="4"/>
        <v>0</v>
      </c>
      <c r="E73" s="167">
        <f t="shared" si="1"/>
        <v>-6.5275194041736875E-9</v>
      </c>
      <c r="F73" s="167">
        <f t="shared" si="2"/>
        <v>6.5275194041736875E-9</v>
      </c>
      <c r="G73" s="167">
        <f t="shared" si="3"/>
        <v>-3.691674863027119E-7</v>
      </c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ht="13.8" x14ac:dyDescent="0.3">
      <c r="C75" s="81"/>
      <c r="D75" s="81"/>
      <c r="E75" s="81"/>
      <c r="F75" s="81"/>
      <c r="G75" s="81"/>
      <c r="H75" s="81"/>
      <c r="I75" s="81"/>
      <c r="J75" s="81"/>
      <c r="K75" s="81"/>
    </row>
    <row r="76" spans="1:17" ht="13.8" x14ac:dyDescent="0.3">
      <c r="C76" s="81"/>
      <c r="D76" s="81"/>
      <c r="E76" s="81"/>
      <c r="F76" s="81"/>
      <c r="G76" s="81"/>
      <c r="H76" s="81"/>
      <c r="I76" s="81"/>
      <c r="J76" s="81"/>
      <c r="K76" s="81"/>
    </row>
    <row r="77" spans="1:17" ht="13.8" x14ac:dyDescent="0.3">
      <c r="C77" s="81"/>
      <c r="D77" s="81"/>
      <c r="E77" s="81"/>
      <c r="F77" s="81"/>
      <c r="G77" s="81"/>
      <c r="H77" s="81"/>
      <c r="I77" s="81"/>
      <c r="J77" s="81"/>
      <c r="K77" s="81"/>
    </row>
    <row r="78" spans="1:17" ht="13.8" x14ac:dyDescent="0.3">
      <c r="C78" s="81"/>
      <c r="D78" s="81"/>
      <c r="E78" s="81"/>
      <c r="F78" s="81"/>
      <c r="G78" s="81"/>
      <c r="H78" s="81"/>
      <c r="I78" s="81"/>
      <c r="J78" s="81"/>
      <c r="K78" s="81"/>
    </row>
    <row r="79" spans="1:17" ht="13.8" x14ac:dyDescent="0.3">
      <c r="C79" s="81"/>
      <c r="D79" s="81"/>
      <c r="E79" s="81"/>
      <c r="F79" s="81"/>
      <c r="G79" s="81"/>
      <c r="H79" s="81"/>
      <c r="I79" s="81"/>
      <c r="J79" s="81"/>
      <c r="K79" s="81"/>
    </row>
    <row r="80" spans="1:17" ht="13.8" x14ac:dyDescent="0.3">
      <c r="C80" s="81"/>
      <c r="D80" s="81"/>
      <c r="E80" s="81"/>
      <c r="F80" s="81"/>
      <c r="G80" s="81"/>
      <c r="H80" s="81"/>
      <c r="I80" s="81"/>
      <c r="J80" s="81"/>
      <c r="K80" s="81"/>
    </row>
    <row r="81" spans="3:11" ht="13.8" x14ac:dyDescent="0.3">
      <c r="C81" s="81"/>
      <c r="D81" s="81"/>
      <c r="E81" s="81"/>
      <c r="F81" s="81"/>
      <c r="G81" s="81"/>
      <c r="H81" s="81"/>
      <c r="I81" s="81"/>
      <c r="J81" s="81"/>
      <c r="K81" s="81"/>
    </row>
    <row r="82" spans="3:11" ht="13.8" x14ac:dyDescent="0.3">
      <c r="C82" s="81"/>
      <c r="D82" s="81"/>
      <c r="E82" s="81"/>
      <c r="F82" s="81"/>
      <c r="G82" s="81"/>
      <c r="H82" s="81"/>
      <c r="I82" s="81"/>
      <c r="J82" s="81"/>
      <c r="K82" s="81"/>
    </row>
    <row r="83" spans="3:11" ht="13.8" x14ac:dyDescent="0.3">
      <c r="C83" s="81"/>
      <c r="D83" s="81"/>
      <c r="E83" s="81"/>
      <c r="F83" s="81"/>
      <c r="G83" s="81"/>
      <c r="H83" s="81"/>
      <c r="I83" s="81"/>
      <c r="J83" s="81"/>
      <c r="K83" s="81"/>
    </row>
    <row r="84" spans="3:11" ht="13.8" x14ac:dyDescent="0.3">
      <c r="C84" s="81"/>
      <c r="D84" s="81"/>
      <c r="E84" s="81"/>
      <c r="F84" s="81"/>
      <c r="G84" s="81"/>
      <c r="H84" s="81"/>
      <c r="I84" s="81"/>
      <c r="J84" s="81"/>
      <c r="K84" s="81"/>
    </row>
    <row r="85" spans="3:11" ht="13.8" x14ac:dyDescent="0.3">
      <c r="C85" s="81"/>
      <c r="D85" s="81"/>
      <c r="E85" s="81"/>
      <c r="F85" s="81"/>
      <c r="G85" s="81"/>
      <c r="H85" s="81"/>
      <c r="I85" s="81"/>
      <c r="J85" s="81"/>
      <c r="K85" s="81"/>
    </row>
    <row r="86" spans="3:11" ht="13.8" x14ac:dyDescent="0.3">
      <c r="C86" s="81"/>
      <c r="D86" s="81"/>
      <c r="E86" s="81"/>
      <c r="F86" s="81"/>
      <c r="G86" s="81"/>
      <c r="H86" s="81"/>
      <c r="I86" s="81"/>
      <c r="J86" s="81"/>
      <c r="K86" s="81"/>
    </row>
    <row r="87" spans="3:11" ht="13.8" x14ac:dyDescent="0.3">
      <c r="C87" s="81"/>
      <c r="D87" s="81"/>
      <c r="E87" s="81"/>
      <c r="F87" s="81"/>
      <c r="G87" s="81"/>
      <c r="H87" s="81"/>
      <c r="I87" s="81"/>
      <c r="J87" s="81"/>
      <c r="K87" s="81"/>
    </row>
    <row r="88" spans="3:11" ht="13.8" x14ac:dyDescent="0.3">
      <c r="C88" s="81"/>
      <c r="D88" s="81"/>
      <c r="E88" s="81"/>
      <c r="F88" s="81"/>
      <c r="G88" s="81"/>
      <c r="H88" s="81"/>
      <c r="I88" s="81"/>
      <c r="J88" s="81"/>
      <c r="K88" s="81"/>
    </row>
    <row r="89" spans="3:11" ht="13.8" x14ac:dyDescent="0.3">
      <c r="C89" s="81"/>
      <c r="D89" s="81"/>
      <c r="E89" s="81"/>
      <c r="F89" s="81"/>
      <c r="G89" s="81"/>
      <c r="H89" s="81"/>
      <c r="I89" s="81"/>
      <c r="J89" s="81"/>
      <c r="K89" s="81"/>
    </row>
    <row r="90" spans="3:11" ht="13.8" x14ac:dyDescent="0.3">
      <c r="C90" s="81"/>
      <c r="D90" s="81"/>
      <c r="E90" s="81"/>
      <c r="F90" s="81"/>
      <c r="G90" s="81"/>
      <c r="H90" s="81"/>
      <c r="I90" s="81"/>
      <c r="J90" s="81"/>
      <c r="K90" s="81"/>
    </row>
    <row r="91" spans="3:11" ht="13.8" x14ac:dyDescent="0.3">
      <c r="C91" s="81"/>
      <c r="D91" s="81"/>
      <c r="E91" s="81"/>
      <c r="F91" s="81"/>
      <c r="G91" s="81"/>
      <c r="H91" s="81"/>
      <c r="I91" s="81"/>
      <c r="J91" s="81"/>
      <c r="K91" s="81"/>
    </row>
    <row r="92" spans="3:11" ht="13.8" x14ac:dyDescent="0.3">
      <c r="C92" s="81"/>
      <c r="D92" s="81"/>
      <c r="E92" s="81"/>
      <c r="F92" s="81"/>
      <c r="G92" s="81"/>
      <c r="H92" s="81"/>
      <c r="I92" s="81"/>
      <c r="J92" s="81"/>
      <c r="K92" s="81"/>
    </row>
    <row r="93" spans="3:11" ht="13.8" x14ac:dyDescent="0.3">
      <c r="C93" s="81"/>
      <c r="D93" s="81"/>
      <c r="E93" s="81"/>
      <c r="F93" s="81"/>
      <c r="G93" s="81"/>
      <c r="H93" s="81"/>
      <c r="I93" s="81"/>
      <c r="J93" s="81"/>
      <c r="K93" s="81"/>
    </row>
    <row r="94" spans="3:11" ht="13.8" x14ac:dyDescent="0.3">
      <c r="C94" s="81"/>
      <c r="D94" s="81"/>
      <c r="E94" s="81"/>
      <c r="F94" s="81"/>
      <c r="G94" s="81"/>
      <c r="H94" s="81"/>
      <c r="I94" s="81"/>
      <c r="J94" s="81"/>
      <c r="K94" s="81"/>
    </row>
    <row r="95" spans="3:11" ht="13.8" x14ac:dyDescent="0.3">
      <c r="C95" s="81"/>
      <c r="D95" s="81"/>
      <c r="E95" s="81"/>
      <c r="F95" s="81"/>
      <c r="G95" s="81"/>
      <c r="H95" s="81"/>
      <c r="I95" s="81"/>
      <c r="J95" s="81"/>
      <c r="K95" s="81"/>
    </row>
    <row r="96" spans="3:11" ht="13.8" x14ac:dyDescent="0.3">
      <c r="C96" s="81"/>
      <c r="D96" s="81"/>
      <c r="E96" s="81"/>
      <c r="F96" s="81"/>
      <c r="G96" s="81"/>
      <c r="H96" s="81"/>
      <c r="I96" s="81"/>
      <c r="J96" s="81"/>
      <c r="K96" s="81"/>
    </row>
    <row r="97" spans="3:11" ht="13.8" x14ac:dyDescent="0.3">
      <c r="C97" s="81"/>
      <c r="D97" s="81"/>
      <c r="E97" s="81"/>
      <c r="F97" s="81"/>
      <c r="G97" s="81"/>
      <c r="H97" s="81"/>
      <c r="I97" s="81"/>
      <c r="J97" s="81"/>
      <c r="K97" s="81"/>
    </row>
    <row r="98" spans="3:11" ht="13.8" x14ac:dyDescent="0.3">
      <c r="C98" s="81"/>
      <c r="D98" s="81"/>
      <c r="E98" s="81"/>
      <c r="F98" s="81"/>
      <c r="G98" s="81"/>
      <c r="H98" s="81"/>
      <c r="I98" s="81"/>
      <c r="J98" s="81"/>
      <c r="K98" s="81"/>
    </row>
    <row r="99" spans="3:11" ht="13.8" x14ac:dyDescent="0.3">
      <c r="C99" s="81"/>
      <c r="D99" s="81"/>
      <c r="E99" s="81"/>
      <c r="F99" s="81"/>
      <c r="G99" s="81"/>
      <c r="H99" s="81"/>
      <c r="I99" s="81"/>
      <c r="J99" s="81"/>
      <c r="K99" s="81"/>
    </row>
    <row r="100" spans="3:11" ht="13.8" x14ac:dyDescent="0.3">
      <c r="C100" s="81"/>
      <c r="D100" s="81"/>
      <c r="E100" s="81"/>
      <c r="F100" s="81"/>
      <c r="G100" s="81"/>
      <c r="H100" s="81"/>
      <c r="I100" s="81"/>
      <c r="J100" s="81"/>
      <c r="K100" s="81"/>
    </row>
    <row r="101" spans="3:11" ht="13.8" x14ac:dyDescent="0.3">
      <c r="C101" s="81"/>
      <c r="D101" s="81"/>
      <c r="E101" s="81"/>
      <c r="F101" s="81"/>
      <c r="G101" s="81"/>
      <c r="H101" s="81"/>
      <c r="I101" s="81"/>
      <c r="J101" s="81"/>
      <c r="K101" s="81"/>
    </row>
    <row r="102" spans="3:11" ht="13.8" x14ac:dyDescent="0.3">
      <c r="C102" s="81"/>
      <c r="D102" s="81"/>
      <c r="E102" s="81"/>
      <c r="F102" s="81"/>
      <c r="G102" s="81"/>
      <c r="H102" s="81"/>
      <c r="I102" s="81"/>
      <c r="J102" s="81"/>
      <c r="K102" s="81"/>
    </row>
    <row r="103" spans="3:11" ht="13.8" x14ac:dyDescent="0.3">
      <c r="C103" s="81"/>
      <c r="D103" s="81"/>
      <c r="E103" s="81"/>
      <c r="F103" s="81"/>
      <c r="G103" s="81"/>
      <c r="H103" s="81"/>
      <c r="I103" s="81"/>
      <c r="J103" s="81"/>
      <c r="K103" s="81"/>
    </row>
    <row r="104" spans="3:11" ht="13.8" x14ac:dyDescent="0.3">
      <c r="C104" s="81"/>
      <c r="D104" s="81"/>
      <c r="E104" s="81"/>
      <c r="F104" s="81"/>
      <c r="G104" s="81"/>
      <c r="H104" s="81"/>
      <c r="I104" s="81"/>
      <c r="J104" s="81"/>
      <c r="K104" s="81"/>
    </row>
    <row r="105" spans="3:11" ht="13.8" x14ac:dyDescent="0.3">
      <c r="C105" s="81"/>
      <c r="D105" s="81"/>
      <c r="E105" s="81"/>
      <c r="F105" s="81"/>
      <c r="G105" s="81"/>
      <c r="H105" s="81"/>
      <c r="I105" s="81"/>
      <c r="J105" s="81"/>
      <c r="K105" s="81"/>
    </row>
    <row r="106" spans="3:11" ht="13.8" x14ac:dyDescent="0.3">
      <c r="C106" s="81"/>
      <c r="D106" s="81"/>
      <c r="E106" s="81"/>
      <c r="F106" s="81"/>
      <c r="G106" s="81"/>
      <c r="H106" s="81"/>
      <c r="I106" s="81"/>
      <c r="J106" s="81"/>
      <c r="K106" s="81"/>
    </row>
    <row r="107" spans="3:11" ht="13.8" x14ac:dyDescent="0.3">
      <c r="C107" s="81"/>
      <c r="D107" s="81"/>
      <c r="E107" s="81"/>
      <c r="F107" s="81"/>
      <c r="G107" s="81"/>
      <c r="H107" s="81"/>
      <c r="I107" s="81"/>
      <c r="J107" s="81"/>
      <c r="K107" s="81"/>
    </row>
    <row r="108" spans="3:11" ht="13.8" x14ac:dyDescent="0.3">
      <c r="C108" s="81"/>
      <c r="D108" s="81"/>
      <c r="E108" s="81"/>
      <c r="F108" s="81"/>
      <c r="G108" s="81"/>
      <c r="H108" s="81"/>
      <c r="I108" s="81"/>
      <c r="J108" s="81"/>
      <c r="K108" s="81"/>
    </row>
    <row r="109" spans="3:11" ht="13.8" x14ac:dyDescent="0.3">
      <c r="C109" s="81"/>
      <c r="D109" s="81"/>
      <c r="E109" s="81"/>
      <c r="F109" s="81"/>
      <c r="G109" s="81"/>
      <c r="H109" s="81"/>
      <c r="I109" s="81"/>
      <c r="J109" s="81"/>
      <c r="K109" s="81"/>
    </row>
    <row r="110" spans="3:11" ht="13.8" x14ac:dyDescent="0.3">
      <c r="C110" s="81"/>
      <c r="D110" s="81"/>
      <c r="E110" s="81"/>
      <c r="F110" s="81"/>
      <c r="G110" s="81"/>
      <c r="H110" s="81"/>
      <c r="I110" s="81"/>
      <c r="J110" s="81"/>
      <c r="K110" s="81"/>
    </row>
    <row r="111" spans="3:11" ht="13.8" x14ac:dyDescent="0.3">
      <c r="C111" s="81"/>
      <c r="D111" s="81"/>
      <c r="E111" s="81"/>
      <c r="F111" s="81"/>
      <c r="G111" s="81"/>
      <c r="H111" s="81"/>
      <c r="I111" s="81"/>
      <c r="J111" s="81"/>
      <c r="K111" s="81"/>
    </row>
    <row r="112" spans="3:11" ht="13.8" x14ac:dyDescent="0.3">
      <c r="C112" s="81"/>
      <c r="D112" s="81"/>
      <c r="E112" s="81"/>
      <c r="F112" s="81"/>
      <c r="G112" s="81"/>
      <c r="H112" s="81"/>
      <c r="I112" s="81"/>
      <c r="J112" s="81"/>
      <c r="K112" s="81"/>
    </row>
    <row r="113" spans="3:11" ht="13.8" x14ac:dyDescent="0.3">
      <c r="C113" s="81"/>
      <c r="D113" s="81"/>
      <c r="E113" s="81"/>
      <c r="F113" s="81"/>
      <c r="G113" s="81"/>
      <c r="H113" s="81"/>
      <c r="I113" s="81"/>
      <c r="J113" s="81"/>
      <c r="K113" s="81"/>
    </row>
    <row r="114" spans="3:11" ht="13.8" x14ac:dyDescent="0.3">
      <c r="C114" s="81"/>
      <c r="D114" s="81"/>
      <c r="E114" s="81"/>
      <c r="F114" s="81"/>
      <c r="G114" s="81"/>
      <c r="H114" s="81"/>
      <c r="I114" s="81"/>
      <c r="J114" s="81"/>
      <c r="K114" s="81"/>
    </row>
    <row r="115" spans="3:11" ht="13.8" x14ac:dyDescent="0.3">
      <c r="C115" s="81"/>
      <c r="D115" s="81"/>
      <c r="E115" s="81"/>
      <c r="F115" s="81"/>
      <c r="G115" s="81"/>
      <c r="H115" s="81"/>
      <c r="I115" s="81"/>
      <c r="J115" s="81"/>
      <c r="K115" s="81"/>
    </row>
    <row r="116" spans="3:11" ht="13.8" x14ac:dyDescent="0.3">
      <c r="C116" s="81"/>
      <c r="D116" s="81"/>
      <c r="E116" s="81"/>
      <c r="F116" s="81"/>
      <c r="G116" s="81"/>
      <c r="H116" s="81"/>
      <c r="I116" s="81"/>
      <c r="J116" s="81"/>
      <c r="K116" s="81"/>
    </row>
  </sheetData>
  <mergeCells count="4">
    <mergeCell ref="D5:E5"/>
    <mergeCell ref="D6:E6"/>
    <mergeCell ref="D7:E7"/>
    <mergeCell ref="D8:E8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3:I42"/>
  <sheetViews>
    <sheetView showGridLines="0" topLeftCell="A15" zoomScale="90" zoomScaleNormal="90" workbookViewId="0">
      <selection activeCell="C8" sqref="C8:E9"/>
    </sheetView>
  </sheetViews>
  <sheetFormatPr baseColWidth="10" defaultColWidth="11.44140625" defaultRowHeight="13.2" x14ac:dyDescent="0.25"/>
  <cols>
    <col min="1" max="1" width="8" customWidth="1"/>
    <col min="2" max="2" width="3.33203125" bestFit="1" customWidth="1"/>
    <col min="3" max="3" width="32" customWidth="1"/>
    <col min="4" max="4" width="19.6640625" customWidth="1"/>
    <col min="5" max="5" width="14.88671875" customWidth="1"/>
    <col min="6" max="6" width="21.44140625" customWidth="1"/>
    <col min="7" max="7" width="18.33203125" customWidth="1"/>
    <col min="8" max="8" width="16.109375" customWidth="1"/>
    <col min="9" max="9" width="21.109375" customWidth="1"/>
    <col min="10" max="10" width="13.88671875" customWidth="1"/>
    <col min="11" max="11" width="16.6640625" customWidth="1"/>
    <col min="13" max="13" width="17.109375" bestFit="1" customWidth="1"/>
  </cols>
  <sheetData>
    <row r="3" spans="1:7" x14ac:dyDescent="0.25">
      <c r="F3" s="25"/>
      <c r="G3" s="4"/>
    </row>
    <row r="4" spans="1:7" x14ac:dyDescent="0.25">
      <c r="D4" s="212" t="s">
        <v>406</v>
      </c>
      <c r="F4" s="30">
        <f>'COSTOS Y GASTOS'!D77</f>
        <v>37836</v>
      </c>
      <c r="G4" s="4"/>
    </row>
    <row r="6" spans="1:7" ht="13.8" x14ac:dyDescent="0.3">
      <c r="A6" s="5" t="s">
        <v>24</v>
      </c>
      <c r="B6" s="31">
        <v>27</v>
      </c>
      <c r="C6" s="31" t="s">
        <v>197</v>
      </c>
      <c r="D6" s="32"/>
    </row>
    <row r="8" spans="1:7" x14ac:dyDescent="0.25">
      <c r="C8" s="397" t="s">
        <v>116</v>
      </c>
      <c r="D8" s="398"/>
      <c r="E8" s="398"/>
      <c r="F8" s="404" t="s">
        <v>75</v>
      </c>
    </row>
    <row r="9" spans="1:7" x14ac:dyDescent="0.25">
      <c r="C9" s="399"/>
      <c r="D9" s="400"/>
      <c r="E9" s="400"/>
      <c r="F9" s="405" t="s">
        <v>43</v>
      </c>
      <c r="G9" s="33"/>
    </row>
    <row r="10" spans="1:7" x14ac:dyDescent="0.25">
      <c r="C10" s="34" t="s">
        <v>86</v>
      </c>
      <c r="D10" s="35"/>
      <c r="E10" s="36" t="s">
        <v>257</v>
      </c>
      <c r="F10" s="37">
        <f>'COSTOS Y GASTOS'!F102</f>
        <v>225770495.61359999</v>
      </c>
    </row>
    <row r="11" spans="1:7" x14ac:dyDescent="0.25">
      <c r="C11" s="21" t="s">
        <v>271</v>
      </c>
      <c r="D11" s="38"/>
      <c r="E11" s="39" t="s">
        <v>244</v>
      </c>
      <c r="F11" s="40">
        <f>SUM(D12:D17)</f>
        <v>152915600</v>
      </c>
    </row>
    <row r="12" spans="1:7" x14ac:dyDescent="0.25">
      <c r="C12" s="21" t="s">
        <v>117</v>
      </c>
      <c r="D12" s="41">
        <f>('COSTOS Y GASTOS'!F93)</f>
        <v>86400000</v>
      </c>
      <c r="E12" s="13"/>
      <c r="F12" s="40"/>
    </row>
    <row r="13" spans="1:7" x14ac:dyDescent="0.25">
      <c r="C13" s="42" t="s">
        <v>118</v>
      </c>
      <c r="D13" s="41">
        <f>('COSTOS Y GASTOS'!F92)*0.2</f>
        <v>11359200</v>
      </c>
      <c r="E13" s="19"/>
      <c r="F13" s="43"/>
    </row>
    <row r="14" spans="1:7" x14ac:dyDescent="0.25">
      <c r="C14" s="21" t="s">
        <v>120</v>
      </c>
      <c r="D14" s="41">
        <f>'COSTOS Y GASTOS'!F89+'COSTOS Y GASTOS'!F90+'COSTOS Y GASTOS'!F88+'COSTOS Y GASTOS'!F87+'COSTOS Y GASTOS'!F91</f>
        <v>38376000</v>
      </c>
      <c r="E14" s="13"/>
      <c r="F14" s="40"/>
    </row>
    <row r="15" spans="1:7" x14ac:dyDescent="0.25">
      <c r="C15" s="42" t="s">
        <v>121</v>
      </c>
      <c r="D15" s="41">
        <f>'COSTOS Y GASTOS'!F85</f>
        <v>6695000</v>
      </c>
      <c r="E15" s="19"/>
      <c r="F15" s="43"/>
    </row>
    <row r="16" spans="1:7" x14ac:dyDescent="0.25">
      <c r="C16" s="21" t="s">
        <v>122</v>
      </c>
      <c r="D16" s="41">
        <f>'COSTOS Y GASTOS'!F86</f>
        <v>10085400</v>
      </c>
      <c r="E16" s="13"/>
      <c r="F16" s="40"/>
    </row>
    <row r="17" spans="1:9" x14ac:dyDescent="0.25">
      <c r="C17" s="21" t="s">
        <v>119</v>
      </c>
      <c r="D17" s="41">
        <f>'COSTOS Y GASTOS'!F94</f>
        <v>0</v>
      </c>
      <c r="E17" s="13"/>
      <c r="F17" s="40"/>
    </row>
    <row r="18" spans="1:9" x14ac:dyDescent="0.25">
      <c r="C18" s="44" t="s">
        <v>303</v>
      </c>
      <c r="D18" s="45"/>
      <c r="E18" s="39" t="s">
        <v>268</v>
      </c>
      <c r="F18" s="46">
        <f>'COSTOS Y GASTOS'!F162</f>
        <v>486756823.42039996</v>
      </c>
    </row>
    <row r="19" spans="1:9" x14ac:dyDescent="0.25">
      <c r="C19" s="44"/>
      <c r="D19" s="47"/>
      <c r="E19" s="18"/>
      <c r="F19" s="46"/>
    </row>
    <row r="20" spans="1:9" x14ac:dyDescent="0.25">
      <c r="C20" s="406" t="s">
        <v>2</v>
      </c>
      <c r="D20" s="407"/>
      <c r="E20" s="407"/>
      <c r="F20" s="48">
        <f>SUM(F10:F19)</f>
        <v>865442919.03399992</v>
      </c>
    </row>
    <row r="21" spans="1:9" x14ac:dyDescent="0.25">
      <c r="H21" s="49"/>
      <c r="I21" s="4"/>
    </row>
    <row r="22" spans="1:9" x14ac:dyDescent="0.25">
      <c r="H22" s="49"/>
    </row>
    <row r="23" spans="1:9" ht="13.8" x14ac:dyDescent="0.3">
      <c r="A23" s="5" t="s">
        <v>24</v>
      </c>
      <c r="B23" s="31">
        <v>28</v>
      </c>
      <c r="C23" s="31" t="s">
        <v>198</v>
      </c>
      <c r="D23" s="32"/>
    </row>
    <row r="24" spans="1:9" ht="13.8" x14ac:dyDescent="0.3">
      <c r="A24" s="5"/>
      <c r="B24" s="31"/>
      <c r="C24" s="31"/>
      <c r="D24" s="32"/>
    </row>
    <row r="25" spans="1:9" x14ac:dyDescent="0.25">
      <c r="C25" s="397" t="s">
        <v>338</v>
      </c>
      <c r="D25" s="398"/>
      <c r="E25" s="398"/>
      <c r="F25" s="397" t="s">
        <v>75</v>
      </c>
      <c r="G25" s="4"/>
    </row>
    <row r="26" spans="1:9" x14ac:dyDescent="0.25">
      <c r="C26" s="399"/>
      <c r="D26" s="400"/>
      <c r="E26" s="400"/>
      <c r="F26" s="401" t="s">
        <v>43</v>
      </c>
      <c r="G26" s="4"/>
    </row>
    <row r="27" spans="1:9" x14ac:dyDescent="0.25">
      <c r="C27" s="21" t="s">
        <v>57</v>
      </c>
      <c r="D27" s="38"/>
      <c r="E27" s="36" t="s">
        <v>240</v>
      </c>
      <c r="F27" s="40">
        <f>'COSTOS Y GASTOS'!F103</f>
        <v>739860000</v>
      </c>
      <c r="G27" s="4"/>
      <c r="H27" s="4"/>
    </row>
    <row r="28" spans="1:9" x14ac:dyDescent="0.25">
      <c r="C28" s="21" t="s">
        <v>272</v>
      </c>
      <c r="D28" s="38"/>
      <c r="E28" s="36" t="s">
        <v>244</v>
      </c>
      <c r="F28" s="40">
        <f>D29</f>
        <v>45436800</v>
      </c>
      <c r="G28" s="4"/>
      <c r="H28" s="4"/>
    </row>
    <row r="29" spans="1:9" x14ac:dyDescent="0.25">
      <c r="C29" s="50" t="s">
        <v>73</v>
      </c>
      <c r="D29" s="51">
        <f>('COSTOS Y GASTOS'!F92)*0.8</f>
        <v>45436800</v>
      </c>
      <c r="E29" s="13"/>
      <c r="F29" s="40"/>
      <c r="G29" s="4"/>
      <c r="H29" s="4"/>
    </row>
    <row r="30" spans="1:9" x14ac:dyDescent="0.25">
      <c r="C30" s="402" t="s">
        <v>2</v>
      </c>
      <c r="D30" s="403"/>
      <c r="E30" s="403"/>
      <c r="F30" s="52">
        <f>SUM(F27:F29)</f>
        <v>785296800</v>
      </c>
      <c r="G30" s="4"/>
    </row>
    <row r="31" spans="1:9" x14ac:dyDescent="0.25">
      <c r="C31" s="4"/>
      <c r="D31" s="4"/>
      <c r="E31" s="4"/>
      <c r="F31" s="4"/>
      <c r="G31" s="4"/>
    </row>
    <row r="32" spans="1:9" x14ac:dyDescent="0.25">
      <c r="C32" s="4"/>
      <c r="D32" s="4"/>
      <c r="E32" s="4"/>
      <c r="F32" s="4"/>
      <c r="G32" s="4"/>
    </row>
    <row r="33" spans="1:8" x14ac:dyDescent="0.25">
      <c r="A33" s="5" t="s">
        <v>24</v>
      </c>
      <c r="B33" s="31">
        <v>29</v>
      </c>
      <c r="C33" s="31" t="s">
        <v>199</v>
      </c>
      <c r="D33" s="4"/>
      <c r="E33" s="4"/>
      <c r="F33" s="4"/>
      <c r="G33" s="4"/>
    </row>
    <row r="34" spans="1:8" x14ac:dyDescent="0.25">
      <c r="A34" s="5"/>
      <c r="B34" s="31"/>
      <c r="C34" s="31"/>
      <c r="D34" s="4"/>
      <c r="E34" s="4"/>
      <c r="F34" s="4"/>
      <c r="G34" s="4"/>
    </row>
    <row r="35" spans="1:8" ht="12.75" customHeight="1" x14ac:dyDescent="0.25">
      <c r="C35" s="397" t="s">
        <v>339</v>
      </c>
      <c r="D35" s="398"/>
      <c r="E35" s="398"/>
      <c r="F35" s="397" t="s">
        <v>75</v>
      </c>
      <c r="G35" s="397" t="s">
        <v>82</v>
      </c>
    </row>
    <row r="36" spans="1:8" x14ac:dyDescent="0.25">
      <c r="C36" s="399"/>
      <c r="D36" s="400"/>
      <c r="E36" s="400"/>
      <c r="F36" s="401" t="s">
        <v>43</v>
      </c>
      <c r="G36" s="401"/>
    </row>
    <row r="37" spans="1:8" x14ac:dyDescent="0.25">
      <c r="C37" s="21" t="s">
        <v>124</v>
      </c>
      <c r="D37" s="38"/>
      <c r="E37" s="36" t="s">
        <v>265</v>
      </c>
      <c r="F37" s="40">
        <f>F20</f>
        <v>865442919.03399992</v>
      </c>
      <c r="G37" s="40">
        <f>F37/$F$4</f>
        <v>22873.531003118722</v>
      </c>
    </row>
    <row r="38" spans="1:8" x14ac:dyDescent="0.25">
      <c r="C38" s="21" t="s">
        <v>125</v>
      </c>
      <c r="D38" s="38"/>
      <c r="E38" s="36" t="s">
        <v>276</v>
      </c>
      <c r="F38" s="40">
        <f>F30</f>
        <v>785296800</v>
      </c>
      <c r="G38" s="40">
        <f>F38/$F$4</f>
        <v>20755.280685061847</v>
      </c>
    </row>
    <row r="39" spans="1:8" hidden="1" x14ac:dyDescent="0.25">
      <c r="C39" s="21"/>
      <c r="D39" s="38"/>
      <c r="E39" s="13"/>
      <c r="F39" s="40"/>
      <c r="G39" s="40">
        <f>F39/$F$4</f>
        <v>0</v>
      </c>
    </row>
    <row r="40" spans="1:8" x14ac:dyDescent="0.25">
      <c r="C40" s="402" t="s">
        <v>2</v>
      </c>
      <c r="D40" s="403"/>
      <c r="E40" s="403"/>
      <c r="F40" s="52">
        <f>SUM(F37:F39)</f>
        <v>1650739719.0339999</v>
      </c>
      <c r="G40" s="40">
        <f>F40/$F$4</f>
        <v>43628.811688180569</v>
      </c>
      <c r="H40" s="4"/>
    </row>
    <row r="42" spans="1:8" x14ac:dyDescent="0.25">
      <c r="C42" s="53"/>
      <c r="F42" s="25"/>
      <c r="G42" s="4"/>
    </row>
  </sheetData>
  <mergeCells count="10">
    <mergeCell ref="C35:E36"/>
    <mergeCell ref="F35:F36"/>
    <mergeCell ref="C40:E40"/>
    <mergeCell ref="G35:G36"/>
    <mergeCell ref="C8:E9"/>
    <mergeCell ref="F8:F9"/>
    <mergeCell ref="C20:E20"/>
    <mergeCell ref="C25:E26"/>
    <mergeCell ref="F25:F26"/>
    <mergeCell ref="C30:E30"/>
  </mergeCells>
  <pageMargins left="0.7" right="0.7" top="0.75" bottom="0.75" header="0.3" footer="0.3"/>
  <pageSetup paperSize="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</sheetPr>
  <dimension ref="A2:P203"/>
  <sheetViews>
    <sheetView showGridLines="0" topLeftCell="J22" zoomScale="80" zoomScaleNormal="80" workbookViewId="0">
      <selection activeCell="F36" sqref="F36"/>
    </sheetView>
  </sheetViews>
  <sheetFormatPr baseColWidth="10" defaultColWidth="11.44140625" defaultRowHeight="13.2" x14ac:dyDescent="0.25"/>
  <cols>
    <col min="1" max="1" width="7.44140625" style="4" customWidth="1"/>
    <col min="2" max="2" width="3.44140625" style="4" customWidth="1"/>
    <col min="3" max="3" width="34.88671875" style="4" customWidth="1"/>
    <col min="4" max="5" width="14.44140625" style="4" customWidth="1"/>
    <col min="6" max="6" width="17" style="4" customWidth="1"/>
    <col min="7" max="7" width="17.44140625" style="4" customWidth="1"/>
    <col min="8" max="8" width="18.5546875" style="4" customWidth="1"/>
    <col min="9" max="9" width="18.88671875" style="4" customWidth="1"/>
    <col min="10" max="10" width="19.88671875" style="4" customWidth="1"/>
    <col min="11" max="11" width="16.33203125" style="4" bestFit="1" customWidth="1"/>
    <col min="12" max="12" width="18.109375" style="4" customWidth="1"/>
    <col min="13" max="13" width="17.5546875" style="4" customWidth="1"/>
    <col min="14" max="14" width="16.6640625" style="4" customWidth="1"/>
    <col min="15" max="15" width="16" style="4" customWidth="1"/>
    <col min="16" max="16" width="22.5546875" style="4" customWidth="1"/>
    <col min="17" max="17" width="17.88671875" style="4" customWidth="1"/>
    <col min="18" max="18" width="16.6640625" style="4" customWidth="1"/>
    <col min="19" max="19" width="15.109375" style="4" customWidth="1"/>
    <col min="20" max="16384" width="11.44140625" style="4"/>
  </cols>
  <sheetData>
    <row r="2" spans="1:10" x14ac:dyDescent="0.25">
      <c r="C2" s="346" t="s">
        <v>344</v>
      </c>
      <c r="D2" s="346"/>
      <c r="E2" s="5"/>
      <c r="F2" s="5"/>
      <c r="G2" s="5"/>
      <c r="H2" s="5"/>
      <c r="I2" s="5"/>
    </row>
    <row r="3" spans="1:10" x14ac:dyDescent="0.25">
      <c r="C3" s="10"/>
      <c r="D3" s="10"/>
      <c r="E3" s="10"/>
      <c r="F3" s="10"/>
      <c r="G3" s="10"/>
    </row>
    <row r="4" spans="1:10" x14ac:dyDescent="0.25">
      <c r="C4" s="29" t="s">
        <v>274</v>
      </c>
      <c r="D4" s="54">
        <v>0</v>
      </c>
      <c r="E4" s="26"/>
    </row>
    <row r="6" spans="1:10" x14ac:dyDescent="0.25">
      <c r="A6" s="5" t="s">
        <v>24</v>
      </c>
      <c r="B6" s="5">
        <v>30</v>
      </c>
      <c r="C6" s="5" t="s">
        <v>200</v>
      </c>
      <c r="F6" s="55"/>
      <c r="G6" s="55"/>
      <c r="H6" s="55"/>
      <c r="I6" s="55"/>
      <c r="J6" s="55"/>
    </row>
    <row r="7" spans="1:10" x14ac:dyDescent="0.25">
      <c r="A7" s="5"/>
      <c r="B7" s="5"/>
      <c r="C7" s="5"/>
    </row>
    <row r="8" spans="1:10" x14ac:dyDescent="0.25">
      <c r="D8" s="412" t="s">
        <v>88</v>
      </c>
      <c r="E8" s="413"/>
      <c r="F8" s="297" t="s">
        <v>12</v>
      </c>
      <c r="G8" s="297" t="s">
        <v>12</v>
      </c>
      <c r="H8" s="297" t="s">
        <v>12</v>
      </c>
      <c r="I8" s="297" t="s">
        <v>12</v>
      </c>
      <c r="J8" s="297" t="s">
        <v>12</v>
      </c>
    </row>
    <row r="9" spans="1:10" x14ac:dyDescent="0.25">
      <c r="D9" s="414"/>
      <c r="E9" s="415"/>
      <c r="F9" s="298">
        <f>D4+1</f>
        <v>1</v>
      </c>
      <c r="G9" s="298">
        <f>F9+1</f>
        <v>2</v>
      </c>
      <c r="H9" s="298">
        <f>G9+1</f>
        <v>3</v>
      </c>
      <c r="I9" s="298">
        <f>H9+1</f>
        <v>4</v>
      </c>
      <c r="J9" s="298">
        <f>I9+1</f>
        <v>5</v>
      </c>
    </row>
    <row r="10" spans="1:10" x14ac:dyDescent="0.25">
      <c r="C10" s="14" t="s">
        <v>273</v>
      </c>
      <c r="D10" s="416"/>
      <c r="E10" s="416"/>
      <c r="F10" s="299">
        <f>'COSTOS Y GASTOS'!D77</f>
        <v>37836</v>
      </c>
      <c r="G10" s="299">
        <f>F10*(1+G11)</f>
        <v>39727.800000000003</v>
      </c>
      <c r="H10" s="299">
        <f>G10*(1+H11)</f>
        <v>41714.19</v>
      </c>
      <c r="I10" s="299">
        <f>H10*(1+I11)</f>
        <v>43799.899500000007</v>
      </c>
      <c r="J10" s="299">
        <f>I10*(1+J11)</f>
        <v>45989.894475000008</v>
      </c>
    </row>
    <row r="11" spans="1:10" x14ac:dyDescent="0.25">
      <c r="C11" s="418" t="s">
        <v>255</v>
      </c>
      <c r="D11" s="419"/>
      <c r="E11" s="419"/>
      <c r="F11" s="420"/>
      <c r="G11" s="249">
        <v>0.05</v>
      </c>
      <c r="H11" s="210">
        <v>0.05</v>
      </c>
      <c r="I11" s="210">
        <v>0.05</v>
      </c>
      <c r="J11" s="210">
        <v>0.05</v>
      </c>
    </row>
    <row r="15" spans="1:10" x14ac:dyDescent="0.25">
      <c r="A15" s="5" t="s">
        <v>24</v>
      </c>
      <c r="B15" s="5">
        <v>31</v>
      </c>
      <c r="C15" s="5" t="s">
        <v>278</v>
      </c>
    </row>
    <row r="17" spans="1:16" x14ac:dyDescent="0.25">
      <c r="C17" s="29" t="s">
        <v>123</v>
      </c>
      <c r="D17" s="411">
        <f>'COSTOS RESUMEN'!G40</f>
        <v>43628.811688180569</v>
      </c>
      <c r="E17" s="411"/>
    </row>
    <row r="18" spans="1:16" x14ac:dyDescent="0.25">
      <c r="C18" s="29" t="s">
        <v>89</v>
      </c>
      <c r="D18" s="417">
        <v>0.128</v>
      </c>
      <c r="E18" s="417"/>
    </row>
    <row r="19" spans="1:16" x14ac:dyDescent="0.25">
      <c r="C19" s="29" t="s">
        <v>90</v>
      </c>
      <c r="D19" s="411">
        <f>D17/(1-D18)</f>
        <v>50033.04092681258</v>
      </c>
      <c r="E19" s="411"/>
    </row>
    <row r="21" spans="1:16" x14ac:dyDescent="0.25">
      <c r="C21" s="29" t="s">
        <v>90</v>
      </c>
      <c r="D21" s="422">
        <v>50000</v>
      </c>
      <c r="E21" s="423"/>
      <c r="F21" s="421"/>
      <c r="G21" s="370"/>
      <c r="H21" s="370"/>
      <c r="I21" s="5"/>
      <c r="J21" s="5"/>
    </row>
    <row r="22" spans="1:16" x14ac:dyDescent="0.25">
      <c r="F22" s="5"/>
    </row>
    <row r="23" spans="1:16" x14ac:dyDescent="0.25">
      <c r="D23" s="57"/>
    </row>
    <row r="26" spans="1:16" x14ac:dyDescent="0.25">
      <c r="A26" s="5" t="s">
        <v>24</v>
      </c>
      <c r="B26" s="5">
        <v>32</v>
      </c>
      <c r="C26" s="5" t="s">
        <v>126</v>
      </c>
      <c r="G26" s="6"/>
      <c r="H26" s="6"/>
      <c r="I26" s="6"/>
      <c r="J26" s="6"/>
    </row>
    <row r="27" spans="1:16" x14ac:dyDescent="0.25">
      <c r="A27" s="5"/>
      <c r="C27" s="5"/>
    </row>
    <row r="28" spans="1:16" x14ac:dyDescent="0.25">
      <c r="A28" s="5"/>
      <c r="C28" s="58"/>
      <c r="D28" s="22"/>
      <c r="E28" s="22"/>
      <c r="F28" s="297" t="s">
        <v>12</v>
      </c>
      <c r="G28" s="297" t="s">
        <v>12</v>
      </c>
      <c r="H28" s="297" t="s">
        <v>12</v>
      </c>
      <c r="I28" s="297" t="s">
        <v>12</v>
      </c>
      <c r="J28" s="297" t="s">
        <v>12</v>
      </c>
    </row>
    <row r="29" spans="1:16" x14ac:dyDescent="0.25">
      <c r="C29" s="22"/>
      <c r="D29" s="22"/>
      <c r="E29" s="22"/>
      <c r="F29" s="300">
        <f>F9</f>
        <v>1</v>
      </c>
      <c r="G29" s="300">
        <f>G9</f>
        <v>2</v>
      </c>
      <c r="H29" s="300">
        <f>H9</f>
        <v>3</v>
      </c>
      <c r="I29" s="300">
        <f>I9</f>
        <v>4</v>
      </c>
      <c r="J29" s="300">
        <f>J9</f>
        <v>5</v>
      </c>
    </row>
    <row r="30" spans="1:16" x14ac:dyDescent="0.25">
      <c r="C30" s="408" t="s">
        <v>249</v>
      </c>
      <c r="D30" s="409"/>
      <c r="E30" s="410"/>
      <c r="F30" s="16">
        <f>F10*$D$21</f>
        <v>1891800000</v>
      </c>
      <c r="G30" s="16">
        <f>G10*($D$21*(1+10%))</f>
        <v>2185029000.0000005</v>
      </c>
      <c r="H30" s="16">
        <f t="shared" ref="H30:J30" si="0">H10*($D$21*(1+10%))</f>
        <v>2294280450.0000005</v>
      </c>
      <c r="I30" s="16">
        <f t="shared" si="0"/>
        <v>2408994472.5000005</v>
      </c>
      <c r="J30" s="16">
        <f t="shared" si="0"/>
        <v>2529444196.125001</v>
      </c>
      <c r="K30" s="6"/>
      <c r="L30" s="6"/>
    </row>
    <row r="31" spans="1:16" x14ac:dyDescent="0.25">
      <c r="C31" s="424" t="s">
        <v>127</v>
      </c>
      <c r="D31" s="425"/>
      <c r="E31" s="426"/>
      <c r="F31" s="302">
        <f>SUM(F30:F30)</f>
        <v>1891800000</v>
      </c>
      <c r="G31" s="302">
        <f>SUM(G30:G30)</f>
        <v>2185029000.0000005</v>
      </c>
      <c r="H31" s="302">
        <f>SUM(H30:H30)</f>
        <v>2294280450.0000005</v>
      </c>
      <c r="I31" s="302">
        <f>SUM(I30:I30)</f>
        <v>2408994472.5000005</v>
      </c>
      <c r="J31" s="302">
        <f>SUM(J30:J30)</f>
        <v>2529444196.125001</v>
      </c>
      <c r="K31" s="6"/>
      <c r="L31" s="6"/>
      <c r="P31" s="4">
        <v>2023</v>
      </c>
    </row>
    <row r="32" spans="1:16" ht="4.5" customHeight="1" x14ac:dyDescent="0.25">
      <c r="K32" s="6"/>
      <c r="L32" s="6"/>
    </row>
    <row r="33" spans="3:16" ht="3.75" customHeight="1" x14ac:dyDescent="0.25">
      <c r="G33" s="6"/>
      <c r="K33" s="6"/>
      <c r="L33" s="6"/>
    </row>
    <row r="34" spans="3:16" x14ac:dyDescent="0.25">
      <c r="C34" s="59" t="s">
        <v>86</v>
      </c>
      <c r="D34" s="60" t="s">
        <v>257</v>
      </c>
      <c r="E34" s="61"/>
      <c r="F34" s="16">
        <f>'COSTOS Y GASTOS'!J25</f>
        <v>225770495.61359996</v>
      </c>
      <c r="G34" s="16">
        <f>F34*(1+10%)</f>
        <v>248347545.17495996</v>
      </c>
      <c r="H34" s="16">
        <f t="shared" ref="H34:J34" si="1">G34*(1+10%)</f>
        <v>273182299.69245595</v>
      </c>
      <c r="I34" s="16">
        <f t="shared" si="1"/>
        <v>300500529.66170156</v>
      </c>
      <c r="J34" s="16">
        <f t="shared" si="1"/>
        <v>330550582.62787175</v>
      </c>
      <c r="K34" s="6"/>
      <c r="L34" s="6"/>
      <c r="P34" s="212">
        <v>1160000</v>
      </c>
    </row>
    <row r="35" spans="3:16" x14ac:dyDescent="0.25">
      <c r="C35" s="59" t="s">
        <v>57</v>
      </c>
      <c r="D35" s="60" t="s">
        <v>240</v>
      </c>
      <c r="E35" s="61"/>
      <c r="F35" s="16">
        <f>F10*'COSTOS Y GASTOS'!$H$74*(1+10%)</f>
        <v>813845999.99999988</v>
      </c>
      <c r="G35" s="16">
        <f>(G10*'COSTOS Y GASTOS'!$H$74)*(1+20%)</f>
        <v>932223600</v>
      </c>
      <c r="H35" s="16">
        <f>(H10*'COSTOS Y GASTOS'!$H$74)*(1+20%)</f>
        <v>978834780</v>
      </c>
      <c r="I35" s="16">
        <f>(I10*'COSTOS Y GASTOS'!$H$74)*(1+20%)</f>
        <v>1027776519</v>
      </c>
      <c r="J35" s="16">
        <f>(J10*'COSTOS Y GASTOS'!$H$74)*(1+20%)</f>
        <v>1079165344.95</v>
      </c>
      <c r="K35" s="6"/>
      <c r="L35" s="6"/>
    </row>
    <row r="36" spans="3:16" x14ac:dyDescent="0.25">
      <c r="C36" s="15" t="s">
        <v>219</v>
      </c>
      <c r="D36" s="60" t="s">
        <v>265</v>
      </c>
      <c r="E36" s="61"/>
      <c r="F36" s="16">
        <f>'COSTOS RESUMEN'!F11</f>
        <v>152915600</v>
      </c>
      <c r="G36" s="20">
        <f>F36*(1+10%)</f>
        <v>168207160</v>
      </c>
      <c r="H36" s="20">
        <f t="shared" ref="H36:J36" si="2">G36*(1+5%)</f>
        <v>176617518</v>
      </c>
      <c r="I36" s="20">
        <f t="shared" si="2"/>
        <v>185448393.90000001</v>
      </c>
      <c r="J36" s="20">
        <f t="shared" si="2"/>
        <v>194720813.59500003</v>
      </c>
      <c r="K36" s="6"/>
      <c r="L36" s="6"/>
      <c r="P36" s="4">
        <f t="shared" ref="P36" si="3">P34-O34</f>
        <v>1160000</v>
      </c>
    </row>
    <row r="37" spans="3:16" x14ac:dyDescent="0.25">
      <c r="C37" s="15" t="s">
        <v>218</v>
      </c>
      <c r="D37" s="60" t="s">
        <v>276</v>
      </c>
      <c r="E37" s="62"/>
      <c r="F37" s="16">
        <f>'COSTOS RESUMEN'!F28</f>
        <v>45436800</v>
      </c>
      <c r="G37" s="16">
        <f>(($F$37/$F$10)*G10)*(1+5%)</f>
        <v>50094072</v>
      </c>
      <c r="H37" s="16">
        <f t="shared" ref="H37:J37" si="4">(($F$37/$F$10)*H10)*(1+5%)</f>
        <v>52598775.600000001</v>
      </c>
      <c r="I37" s="16">
        <f t="shared" si="4"/>
        <v>55228714.380000003</v>
      </c>
      <c r="J37" s="16">
        <f t="shared" si="4"/>
        <v>57990150.099000007</v>
      </c>
      <c r="K37" s="6"/>
      <c r="L37" s="6"/>
      <c r="N37" s="246"/>
      <c r="O37" s="246"/>
      <c r="P37" s="246" t="e">
        <f t="shared" ref="P37" si="5">P36/O34</f>
        <v>#DIV/0!</v>
      </c>
    </row>
    <row r="38" spans="3:16" x14ac:dyDescent="0.25">
      <c r="C38" s="303" t="s">
        <v>220</v>
      </c>
      <c r="D38" s="304"/>
      <c r="E38" s="301"/>
      <c r="F38" s="305">
        <f>SUM(F34:F37)</f>
        <v>1237968895.6135998</v>
      </c>
      <c r="G38" s="305">
        <f>SUM(G34:G37)</f>
        <v>1398872377.1749599</v>
      </c>
      <c r="H38" s="305">
        <f>SUM(H34:H37)</f>
        <v>1481233373.2924559</v>
      </c>
      <c r="I38" s="305">
        <f>SUM(I34:I37)</f>
        <v>1568954156.9417019</v>
      </c>
      <c r="J38" s="305">
        <f>SUM(J34:J37)</f>
        <v>1662426891.2718718</v>
      </c>
      <c r="K38" s="6"/>
      <c r="L38" s="6"/>
      <c r="N38" s="247"/>
    </row>
    <row r="39" spans="3:16" ht="4.5" customHeight="1" x14ac:dyDescent="0.25">
      <c r="C39" s="5"/>
      <c r="D39" s="27"/>
      <c r="E39" s="63"/>
      <c r="F39" s="28"/>
      <c r="G39" s="28"/>
      <c r="H39" s="28"/>
      <c r="I39" s="28"/>
      <c r="J39" s="28"/>
      <c r="K39" s="6"/>
      <c r="L39" s="6"/>
    </row>
    <row r="40" spans="3:16" x14ac:dyDescent="0.25">
      <c r="C40" s="303" t="s">
        <v>128</v>
      </c>
      <c r="D40" s="304"/>
      <c r="E40" s="306"/>
      <c r="F40" s="302">
        <f>F31-F38</f>
        <v>653831104.38640022</v>
      </c>
      <c r="G40" s="302">
        <f>G31-G38</f>
        <v>786156622.82504058</v>
      </c>
      <c r="H40" s="302">
        <f>H31-H38</f>
        <v>813047076.70754457</v>
      </c>
      <c r="I40" s="302">
        <f>I31-I38</f>
        <v>840040315.55829859</v>
      </c>
      <c r="J40" s="302">
        <f>J31-J38</f>
        <v>867017304.85312915</v>
      </c>
      <c r="K40" s="6"/>
      <c r="L40" s="6"/>
    </row>
    <row r="41" spans="3:16" ht="5.25" customHeight="1" x14ac:dyDescent="0.25">
      <c r="K41" s="6"/>
      <c r="L41" s="6"/>
    </row>
    <row r="42" spans="3:16" x14ac:dyDescent="0.25">
      <c r="C42" s="15" t="s">
        <v>91</v>
      </c>
      <c r="D42" s="64" t="s">
        <v>260</v>
      </c>
      <c r="E42" s="65"/>
      <c r="F42" s="20">
        <f>'COSTOS Y GASTOS'!J118</f>
        <v>76250400</v>
      </c>
      <c r="G42" s="20">
        <f>F42*(1+10%)</f>
        <v>83875440</v>
      </c>
      <c r="H42" s="20">
        <f t="shared" ref="H42:J42" si="6">G42*(1+10%)</f>
        <v>92262984</v>
      </c>
      <c r="I42" s="20">
        <f t="shared" si="6"/>
        <v>101489282.40000001</v>
      </c>
      <c r="J42" s="20">
        <f t="shared" si="6"/>
        <v>111638210.64000002</v>
      </c>
      <c r="K42" s="6"/>
      <c r="L42" s="6"/>
    </row>
    <row r="43" spans="3:16" x14ac:dyDescent="0.25">
      <c r="C43" s="15" t="s">
        <v>76</v>
      </c>
      <c r="D43" s="64" t="s">
        <v>262</v>
      </c>
      <c r="E43" s="65"/>
      <c r="F43" s="20">
        <f>'COSTOS Y GASTOS'!F141</f>
        <v>79057099.999999985</v>
      </c>
      <c r="G43" s="20">
        <f>F43*(1+5%)</f>
        <v>83009954.999999985</v>
      </c>
      <c r="H43" s="20">
        <f t="shared" ref="H43:J43" si="7">G43*(1+2%)</f>
        <v>84670154.099999979</v>
      </c>
      <c r="I43" s="20">
        <f t="shared" si="7"/>
        <v>86363557.181999981</v>
      </c>
      <c r="J43" s="20">
        <f t="shared" si="7"/>
        <v>88090828.325639978</v>
      </c>
      <c r="K43" s="6"/>
      <c r="L43" s="6"/>
    </row>
    <row r="44" spans="3:16" x14ac:dyDescent="0.25">
      <c r="C44" s="12" t="s">
        <v>92</v>
      </c>
      <c r="D44" s="66" t="s">
        <v>261</v>
      </c>
      <c r="E44" s="67"/>
      <c r="F44" s="20">
        <f>'COSTOS Y GASTOS'!J152</f>
        <v>331449323.42039996</v>
      </c>
      <c r="G44" s="20">
        <f>F44*(1+10%)</f>
        <v>364594255.76243997</v>
      </c>
      <c r="H44" s="20">
        <f t="shared" ref="H44:J44" si="8">G44*(1+10%)</f>
        <v>401053681.33868402</v>
      </c>
      <c r="I44" s="20">
        <f t="shared" si="8"/>
        <v>441159049.47255248</v>
      </c>
      <c r="J44" s="20">
        <f t="shared" si="8"/>
        <v>485274954.41980779</v>
      </c>
      <c r="K44" s="6"/>
      <c r="L44" s="6"/>
    </row>
    <row r="45" spans="3:16" x14ac:dyDescent="0.25">
      <c r="C45" s="303" t="s">
        <v>129</v>
      </c>
      <c r="D45" s="304"/>
      <c r="E45" s="301"/>
      <c r="F45" s="305">
        <f>F42+F43+F44</f>
        <v>486756823.42039996</v>
      </c>
      <c r="G45" s="305">
        <f>G42+G43+G44</f>
        <v>531479650.76243997</v>
      </c>
      <c r="H45" s="305">
        <f>H42+H43+H44</f>
        <v>577986819.43868399</v>
      </c>
      <c r="I45" s="305">
        <f>I42+I43+I44</f>
        <v>629011889.05455244</v>
      </c>
      <c r="J45" s="305">
        <f>J42+J43+J44</f>
        <v>685003993.38544774</v>
      </c>
      <c r="K45" s="6"/>
      <c r="L45" s="6"/>
    </row>
    <row r="46" spans="3:16" ht="4.5" customHeight="1" x14ac:dyDescent="0.25">
      <c r="C46" s="5"/>
      <c r="D46" s="27"/>
      <c r="E46" s="63"/>
      <c r="F46" s="28"/>
      <c r="G46" s="28"/>
      <c r="H46" s="28"/>
      <c r="I46" s="28"/>
      <c r="J46" s="28"/>
      <c r="K46" s="6"/>
      <c r="L46" s="6"/>
    </row>
    <row r="47" spans="3:16" ht="3" customHeight="1" x14ac:dyDescent="0.25">
      <c r="G47" s="6"/>
      <c r="K47" s="6"/>
      <c r="L47" s="6"/>
    </row>
    <row r="48" spans="3:16" ht="13.5" customHeight="1" x14ac:dyDescent="0.25">
      <c r="C48" s="307" t="s">
        <v>308</v>
      </c>
      <c r="D48" s="306"/>
      <c r="E48" s="308"/>
      <c r="F48" s="302">
        <f>F40-F45</f>
        <v>167074280.96600026</v>
      </c>
      <c r="G48" s="302">
        <f>G40-G45</f>
        <v>254676972.06260061</v>
      </c>
      <c r="H48" s="302">
        <f>H40-H45</f>
        <v>235060257.26886058</v>
      </c>
      <c r="I48" s="302">
        <f>I40-I45</f>
        <v>211028426.50374615</v>
      </c>
      <c r="J48" s="302">
        <f>J40-J45</f>
        <v>182013311.46768141</v>
      </c>
      <c r="K48" s="6"/>
      <c r="L48" s="6"/>
    </row>
    <row r="49" spans="3:12" x14ac:dyDescent="0.25">
      <c r="C49" s="68" t="s">
        <v>8</v>
      </c>
      <c r="D49" s="69" t="s">
        <v>264</v>
      </c>
      <c r="E49" s="70"/>
      <c r="F49" s="16">
        <f>CRÉDITO!N14</f>
        <v>124155788.09070462</v>
      </c>
      <c r="G49" s="16">
        <f>CRÉDITO!N15</f>
        <v>97935840.738640428</v>
      </c>
      <c r="H49" s="16">
        <f>CRÉDITO!N16</f>
        <v>65456653.6168091</v>
      </c>
      <c r="I49" s="16">
        <f>CRÉDITO!N17</f>
        <v>25224017.680113167</v>
      </c>
      <c r="J49" s="16">
        <f>CRÉDITO!N18</f>
        <v>-7.1144262425758824E-8</v>
      </c>
      <c r="K49" s="6"/>
      <c r="L49" s="6"/>
    </row>
    <row r="50" spans="3:12" x14ac:dyDescent="0.25">
      <c r="C50" s="68" t="s">
        <v>154</v>
      </c>
      <c r="D50" s="71"/>
      <c r="E50" s="72"/>
      <c r="F50" s="16">
        <f>(F31*0.004)</f>
        <v>7567200</v>
      </c>
      <c r="G50" s="16">
        <f>(G31*0.004)</f>
        <v>8740116.0000000019</v>
      </c>
      <c r="H50" s="16">
        <f>(H31*0.004)</f>
        <v>9177121.8000000026</v>
      </c>
      <c r="I50" s="16">
        <f>(I31*0.004)</f>
        <v>9635977.8900000025</v>
      </c>
      <c r="J50" s="16">
        <f>(J31*0.004)</f>
        <v>10117776.784500005</v>
      </c>
      <c r="K50" s="6"/>
      <c r="L50" s="6"/>
    </row>
    <row r="51" spans="3:12" x14ac:dyDescent="0.25">
      <c r="C51" s="68" t="s">
        <v>307</v>
      </c>
      <c r="D51" s="73"/>
      <c r="E51" s="74"/>
      <c r="F51" s="16"/>
      <c r="G51" s="20"/>
      <c r="H51" s="20"/>
      <c r="I51" s="20"/>
      <c r="J51" s="20"/>
      <c r="K51" s="6"/>
      <c r="L51" s="6"/>
    </row>
    <row r="52" spans="3:12" hidden="1" x14ac:dyDescent="0.25">
      <c r="F52" s="75"/>
      <c r="G52" s="75"/>
      <c r="H52" s="75"/>
      <c r="I52" s="75"/>
      <c r="J52" s="75"/>
      <c r="K52" s="6"/>
      <c r="L52" s="6"/>
    </row>
    <row r="53" spans="3:12" x14ac:dyDescent="0.25">
      <c r="C53" s="303" t="s">
        <v>130</v>
      </c>
      <c r="D53" s="306"/>
      <c r="E53" s="306"/>
      <c r="F53" s="302">
        <f>F48-F49-F50+F51</f>
        <v>35351292.875295639</v>
      </c>
      <c r="G53" s="302">
        <f>G48-G49-G50+G51</f>
        <v>148001015.32396019</v>
      </c>
      <c r="H53" s="302">
        <f>H48-H49-H50+H51</f>
        <v>160426481.85205147</v>
      </c>
      <c r="I53" s="302">
        <f>I48-I49-I50+I51</f>
        <v>176168430.93363297</v>
      </c>
      <c r="J53" s="302">
        <f>J48-J49-J50+J51</f>
        <v>171895534.68318146</v>
      </c>
      <c r="K53" s="6"/>
      <c r="L53" s="6"/>
    </row>
    <row r="54" spans="3:12" hidden="1" x14ac:dyDescent="0.25">
      <c r="F54" s="75"/>
      <c r="G54" s="75"/>
      <c r="H54" s="75"/>
      <c r="I54" s="75"/>
      <c r="J54" s="75"/>
      <c r="K54" s="6"/>
      <c r="L54" s="6"/>
    </row>
    <row r="55" spans="3:12" ht="5.25" customHeight="1" x14ac:dyDescent="0.25">
      <c r="K55" s="6"/>
      <c r="L55" s="6"/>
    </row>
    <row r="56" spans="3:12" x14ac:dyDescent="0.25">
      <c r="C56" s="68" t="s">
        <v>131</v>
      </c>
      <c r="D56" s="76">
        <v>0.35</v>
      </c>
      <c r="E56" s="77"/>
      <c r="F56" s="20">
        <f>IF(F53&gt;0,F53*$D$56,0)</f>
        <v>12372952.506353473</v>
      </c>
      <c r="G56" s="16">
        <f>IF(G53&gt;0,G53*$D$56,0)</f>
        <v>51800355.363386065</v>
      </c>
      <c r="H56" s="16">
        <f>IF(H53&gt;0,H53*$D$56,0)</f>
        <v>56149268.648218013</v>
      </c>
      <c r="I56" s="16">
        <f>IF(I53&gt;0,I53*$D$56,0)</f>
        <v>61658950.826771535</v>
      </c>
      <c r="J56" s="16">
        <f>IF(J53&gt;0,J53*$D$56,0)</f>
        <v>60163437.139113508</v>
      </c>
      <c r="K56" s="6"/>
      <c r="L56" s="6"/>
    </row>
    <row r="57" spans="3:12" hidden="1" x14ac:dyDescent="0.25">
      <c r="F57" s="75"/>
      <c r="G57" s="75"/>
      <c r="H57" s="75"/>
      <c r="I57" s="75"/>
      <c r="J57" s="75"/>
      <c r="K57" s="6"/>
      <c r="L57" s="6"/>
    </row>
    <row r="58" spans="3:12" ht="5.25" customHeight="1" x14ac:dyDescent="0.25">
      <c r="K58" s="6"/>
      <c r="L58" s="6"/>
    </row>
    <row r="59" spans="3:12" x14ac:dyDescent="0.25">
      <c r="C59" s="303" t="s">
        <v>132</v>
      </c>
      <c r="D59" s="309"/>
      <c r="E59" s="310"/>
      <c r="F59" s="302">
        <f>F53-F56</f>
        <v>22978340.368942164</v>
      </c>
      <c r="G59" s="302">
        <f>G53-G56</f>
        <v>96200659.96057412</v>
      </c>
      <c r="H59" s="302">
        <f>H53-H56</f>
        <v>104277213.20383346</v>
      </c>
      <c r="I59" s="302">
        <f>I53-I56</f>
        <v>114509480.10686144</v>
      </c>
      <c r="J59" s="302">
        <f>J53-J56</f>
        <v>111732097.54406795</v>
      </c>
      <c r="K59" s="6"/>
      <c r="L59" s="6"/>
    </row>
    <row r="60" spans="3:12" hidden="1" x14ac:dyDescent="0.25">
      <c r="C60" s="78"/>
      <c r="D60" s="78"/>
      <c r="E60" s="78"/>
      <c r="F60" s="75"/>
      <c r="G60" s="75"/>
      <c r="H60" s="75"/>
      <c r="I60" s="75"/>
      <c r="J60" s="75"/>
      <c r="K60" s="6"/>
      <c r="L60" s="6"/>
    </row>
    <row r="61" spans="3:12" x14ac:dyDescent="0.25">
      <c r="C61" s="68" t="s">
        <v>176</v>
      </c>
      <c r="D61" s="79">
        <v>0.03</v>
      </c>
      <c r="E61" s="80"/>
      <c r="F61" s="20">
        <f>IF(F59&lt;0,0,(F59*$D$61))</f>
        <v>689350.21106826491</v>
      </c>
      <c r="G61" s="16">
        <f>IF(G59&lt;0,0,(G59*$D$61))</f>
        <v>2886019.7988172234</v>
      </c>
      <c r="H61" s="16">
        <f>IF(H59&lt;0,0,(H59*$D$61))</f>
        <v>3128316.3961150036</v>
      </c>
      <c r="I61" s="16">
        <f>IF(I59&lt;0,0,(I59*$D$61))</f>
        <v>3435284.4032058432</v>
      </c>
      <c r="J61" s="16">
        <f>IF(J59&lt;0,0,(J59*$D$61))</f>
        <v>3351962.9263220383</v>
      </c>
      <c r="K61" s="6"/>
      <c r="L61" s="6"/>
    </row>
    <row r="62" spans="3:12" x14ac:dyDescent="0.25">
      <c r="C62" s="438" t="s">
        <v>306</v>
      </c>
      <c r="D62" s="438"/>
      <c r="E62" s="438"/>
      <c r="F62" s="302">
        <f>F59-F61</f>
        <v>22288990.157873899</v>
      </c>
      <c r="G62" s="302">
        <f>G59-G61</f>
        <v>93314640.161756903</v>
      </c>
      <c r="H62" s="302">
        <f>H59-H61</f>
        <v>101148896.80771846</v>
      </c>
      <c r="I62" s="302">
        <f>I59-I61</f>
        <v>111074195.7036556</v>
      </c>
      <c r="J62" s="302">
        <f>J59-J61</f>
        <v>108380134.61774591</v>
      </c>
      <c r="K62" s="6"/>
      <c r="L62" s="6"/>
    </row>
    <row r="63" spans="3:12" x14ac:dyDescent="0.25">
      <c r="K63" s="6"/>
      <c r="L63" s="6"/>
    </row>
    <row r="64" spans="3:12" x14ac:dyDescent="0.25">
      <c r="K64" s="6"/>
      <c r="L64" s="6"/>
    </row>
    <row r="65" spans="1:12" x14ac:dyDescent="0.25">
      <c r="K65" s="6"/>
      <c r="L65" s="6"/>
    </row>
    <row r="66" spans="1:12" x14ac:dyDescent="0.25">
      <c r="K66" s="6"/>
      <c r="L66" s="6"/>
    </row>
    <row r="67" spans="1:12" ht="13.8" x14ac:dyDescent="0.3">
      <c r="A67" s="5" t="s">
        <v>24</v>
      </c>
      <c r="B67" s="5">
        <v>33</v>
      </c>
      <c r="C67" s="5" t="s">
        <v>133</v>
      </c>
      <c r="D67" s="81"/>
      <c r="E67" s="81"/>
      <c r="F67" s="81"/>
      <c r="G67" s="81"/>
      <c r="H67" s="81"/>
      <c r="I67" s="81"/>
      <c r="J67" s="81"/>
      <c r="K67" s="81"/>
      <c r="L67" s="6" t="s">
        <v>295</v>
      </c>
    </row>
    <row r="68" spans="1:12" x14ac:dyDescent="0.25">
      <c r="A68"/>
      <c r="B68"/>
      <c r="C68" s="427"/>
      <c r="D68" s="427"/>
      <c r="E68" s="427"/>
      <c r="F68" s="297" t="s">
        <v>12</v>
      </c>
      <c r="G68" s="297" t="s">
        <v>12</v>
      </c>
      <c r="H68" s="297" t="s">
        <v>12</v>
      </c>
      <c r="I68" s="297" t="s">
        <v>12</v>
      </c>
      <c r="J68" s="297" t="s">
        <v>12</v>
      </c>
      <c r="K68" s="297" t="s">
        <v>12</v>
      </c>
      <c r="L68" s="83"/>
    </row>
    <row r="69" spans="1:12" x14ac:dyDescent="0.25">
      <c r="A69"/>
      <c r="B69"/>
      <c r="C69" s="428"/>
      <c r="D69" s="428"/>
      <c r="E69" s="428"/>
      <c r="F69" s="300">
        <f>D4</f>
        <v>0</v>
      </c>
      <c r="G69" s="300">
        <f t="shared" ref="G69:K70" si="9">F29</f>
        <v>1</v>
      </c>
      <c r="H69" s="300">
        <f t="shared" si="9"/>
        <v>2</v>
      </c>
      <c r="I69" s="300">
        <f t="shared" si="9"/>
        <v>3</v>
      </c>
      <c r="J69" s="300">
        <f t="shared" si="9"/>
        <v>4</v>
      </c>
      <c r="K69" s="298">
        <f t="shared" si="9"/>
        <v>5</v>
      </c>
      <c r="L69" s="6"/>
    </row>
    <row r="70" spans="1:12" x14ac:dyDescent="0.25">
      <c r="A70"/>
      <c r="B70"/>
      <c r="C70" s="429" t="s">
        <v>134</v>
      </c>
      <c r="D70" s="430"/>
      <c r="E70" s="431"/>
      <c r="F70" s="172"/>
      <c r="G70" s="16">
        <f t="shared" si="9"/>
        <v>1891800000</v>
      </c>
      <c r="H70" s="16">
        <f t="shared" si="9"/>
        <v>2185029000.0000005</v>
      </c>
      <c r="I70" s="16">
        <f t="shared" si="9"/>
        <v>2294280450.0000005</v>
      </c>
      <c r="J70" s="16">
        <f t="shared" si="9"/>
        <v>2408994472.5000005</v>
      </c>
      <c r="K70" s="16">
        <f t="shared" si="9"/>
        <v>2529444196.125001</v>
      </c>
      <c r="L70" s="83"/>
    </row>
    <row r="71" spans="1:12" ht="14.25" customHeight="1" x14ac:dyDescent="0.3">
      <c r="A71"/>
      <c r="B71"/>
      <c r="C71" s="429" t="s">
        <v>135</v>
      </c>
      <c r="D71" s="430"/>
      <c r="E71" s="431"/>
      <c r="F71" s="172"/>
      <c r="G71" s="14"/>
      <c r="H71" s="16"/>
      <c r="I71" s="16"/>
      <c r="J71" s="16"/>
      <c r="K71" s="16"/>
      <c r="L71" s="85"/>
    </row>
    <row r="72" spans="1:12" x14ac:dyDescent="0.25">
      <c r="A72"/>
      <c r="B72"/>
      <c r="C72" s="424" t="s">
        <v>136</v>
      </c>
      <c r="D72" s="425"/>
      <c r="E72" s="426"/>
      <c r="F72" s="311"/>
      <c r="G72" s="302">
        <f>G70+G71</f>
        <v>1891800000</v>
      </c>
      <c r="H72" s="302">
        <f>H70+H71</f>
        <v>2185029000.0000005</v>
      </c>
      <c r="I72" s="302">
        <f>I70+I71</f>
        <v>2294280450.0000005</v>
      </c>
      <c r="J72" s="302">
        <f>J70+J71</f>
        <v>2408994472.5000005</v>
      </c>
      <c r="K72" s="302">
        <f>K70+K71</f>
        <v>2529444196.125001</v>
      </c>
      <c r="L72" s="83"/>
    </row>
    <row r="73" spans="1:12" ht="6.75" customHeight="1" x14ac:dyDescent="0.25">
      <c r="A73"/>
      <c r="B73"/>
      <c r="E73" s="86"/>
      <c r="H73" s="6"/>
      <c r="I73" s="6"/>
      <c r="J73" s="6"/>
      <c r="K73" s="6"/>
      <c r="L73" s="83"/>
    </row>
    <row r="74" spans="1:12" ht="12" customHeight="1" x14ac:dyDescent="0.25">
      <c r="A74"/>
      <c r="B74"/>
      <c r="C74" s="5" t="s">
        <v>137</v>
      </c>
      <c r="E74" s="87"/>
      <c r="G74" s="6"/>
      <c r="H74" s="6"/>
      <c r="I74" s="6"/>
      <c r="J74" s="6"/>
      <c r="K74" s="6"/>
      <c r="L74" s="83"/>
    </row>
    <row r="75" spans="1:12" x14ac:dyDescent="0.25">
      <c r="A75"/>
      <c r="B75"/>
      <c r="C75" s="88" t="s">
        <v>138</v>
      </c>
      <c r="D75" s="89" t="s">
        <v>24</v>
      </c>
      <c r="E75" s="90">
        <v>14</v>
      </c>
      <c r="F75" s="91"/>
      <c r="G75" s="16">
        <f>(F35)</f>
        <v>813845999.99999988</v>
      </c>
      <c r="H75" s="16">
        <f>(G35)</f>
        <v>932223600</v>
      </c>
      <c r="I75" s="16">
        <f>(H35)</f>
        <v>978834780</v>
      </c>
      <c r="J75" s="16">
        <f>(I35)</f>
        <v>1027776519</v>
      </c>
      <c r="K75" s="16">
        <f>(J35)</f>
        <v>1079165344.95</v>
      </c>
      <c r="L75" s="83"/>
    </row>
    <row r="76" spans="1:12" x14ac:dyDescent="0.25">
      <c r="A76"/>
      <c r="B76"/>
      <c r="C76" s="88" t="s">
        <v>141</v>
      </c>
      <c r="D76" s="89" t="s">
        <v>24</v>
      </c>
      <c r="E76" s="90">
        <v>11</v>
      </c>
      <c r="F76" s="91"/>
      <c r="G76" s="16">
        <f>F34</f>
        <v>225770495.61359996</v>
      </c>
      <c r="H76" s="16">
        <f>G34</f>
        <v>248347545.17495996</v>
      </c>
      <c r="I76" s="16">
        <f>H34</f>
        <v>273182299.69245595</v>
      </c>
      <c r="J76" s="16">
        <f>I34</f>
        <v>300500529.66170156</v>
      </c>
      <c r="K76" s="16">
        <f>J34</f>
        <v>330550582.62787175</v>
      </c>
      <c r="L76" s="83"/>
    </row>
    <row r="77" spans="1:12" ht="12.75" customHeight="1" x14ac:dyDescent="0.25">
      <c r="A77"/>
      <c r="B77"/>
      <c r="C77" s="68" t="s">
        <v>139</v>
      </c>
      <c r="D77" s="92" t="s">
        <v>24</v>
      </c>
      <c r="E77" s="90">
        <v>15</v>
      </c>
      <c r="F77" s="91"/>
      <c r="G77" s="16">
        <f>F36</f>
        <v>152915600</v>
      </c>
      <c r="H77" s="16">
        <f>G36</f>
        <v>168207160</v>
      </c>
      <c r="I77" s="16">
        <f>H36</f>
        <v>176617518</v>
      </c>
      <c r="J77" s="16">
        <f>I36</f>
        <v>185448393.90000001</v>
      </c>
      <c r="K77" s="16">
        <f>J36</f>
        <v>194720813.59500003</v>
      </c>
      <c r="L77" s="83"/>
    </row>
    <row r="78" spans="1:12" x14ac:dyDescent="0.25">
      <c r="A78"/>
      <c r="B78"/>
      <c r="C78" s="93" t="s">
        <v>51</v>
      </c>
      <c r="D78" s="92" t="s">
        <v>24</v>
      </c>
      <c r="E78" s="90">
        <v>13</v>
      </c>
      <c r="F78" s="91"/>
      <c r="G78" s="16">
        <f>-'COSTOS RESUMEN'!D14</f>
        <v>-38376000</v>
      </c>
      <c r="H78" s="16">
        <f>G78</f>
        <v>-38376000</v>
      </c>
      <c r="I78" s="16">
        <f>H78</f>
        <v>-38376000</v>
      </c>
      <c r="J78" s="16">
        <f>I78</f>
        <v>-38376000</v>
      </c>
      <c r="K78" s="16">
        <f>J78</f>
        <v>-38376000</v>
      </c>
      <c r="L78" s="83"/>
    </row>
    <row r="79" spans="1:12" x14ac:dyDescent="0.25">
      <c r="A79"/>
      <c r="B79"/>
      <c r="C79" s="93" t="s">
        <v>140</v>
      </c>
      <c r="D79" s="94" t="s">
        <v>24</v>
      </c>
      <c r="E79" s="95">
        <v>15</v>
      </c>
      <c r="F79" s="91"/>
      <c r="G79" s="16">
        <f>F37</f>
        <v>45436800</v>
      </c>
      <c r="H79" s="16">
        <f>G37</f>
        <v>50094072</v>
      </c>
      <c r="I79" s="16">
        <f>H37</f>
        <v>52598775.600000001</v>
      </c>
      <c r="J79" s="16">
        <f>I37</f>
        <v>55228714.380000003</v>
      </c>
      <c r="K79" s="16">
        <f>J37</f>
        <v>57990150.099000007</v>
      </c>
      <c r="L79" s="83"/>
    </row>
    <row r="80" spans="1:12" x14ac:dyDescent="0.25">
      <c r="A80"/>
      <c r="B80"/>
      <c r="C80" s="303" t="s">
        <v>148</v>
      </c>
      <c r="D80" s="309"/>
      <c r="E80" s="310"/>
      <c r="F80" s="310"/>
      <c r="G80" s="302">
        <f>SUM(G75:G79)</f>
        <v>1199592895.6135998</v>
      </c>
      <c r="H80" s="302">
        <f>SUM(H75:H79)</f>
        <v>1360496377.1749599</v>
      </c>
      <c r="I80" s="302">
        <f>SUM(I75:I79)</f>
        <v>1442857373.2924559</v>
      </c>
      <c r="J80" s="302">
        <f>SUM(J75:J79)</f>
        <v>1530578156.9417019</v>
      </c>
      <c r="K80" s="302">
        <f>SUM(K75:K79)</f>
        <v>1624050891.2718718</v>
      </c>
      <c r="L80" s="83"/>
    </row>
    <row r="81" spans="1:12" ht="8.25" customHeight="1" x14ac:dyDescent="0.25">
      <c r="A81"/>
      <c r="B81"/>
      <c r="L81" s="83"/>
    </row>
    <row r="82" spans="1:12" x14ac:dyDescent="0.25">
      <c r="A82"/>
      <c r="B82"/>
      <c r="C82" s="312" t="s">
        <v>142</v>
      </c>
      <c r="D82" s="313"/>
      <c r="E82" s="314"/>
      <c r="F82" s="308"/>
      <c r="G82" s="302">
        <f>G72-G80</f>
        <v>692207104.38640022</v>
      </c>
      <c r="H82" s="302">
        <f>H72-H80</f>
        <v>824532622.82504058</v>
      </c>
      <c r="I82" s="302">
        <f>I72-I80</f>
        <v>851423076.70754457</v>
      </c>
      <c r="J82" s="302">
        <f>J72-J80</f>
        <v>878416315.55829859</v>
      </c>
      <c r="K82" s="302">
        <f>K72-K80</f>
        <v>905393304.85312915</v>
      </c>
      <c r="L82" s="83"/>
    </row>
    <row r="83" spans="1:12" ht="6.75" customHeight="1" x14ac:dyDescent="0.25">
      <c r="A83"/>
      <c r="B83"/>
      <c r="L83" s="83"/>
    </row>
    <row r="84" spans="1:12" x14ac:dyDescent="0.25">
      <c r="A84"/>
      <c r="B84"/>
      <c r="C84" s="58" t="s">
        <v>144</v>
      </c>
      <c r="D84" s="22"/>
      <c r="E84" s="22"/>
      <c r="F84" s="22"/>
      <c r="L84" s="83"/>
    </row>
    <row r="85" spans="1:12" x14ac:dyDescent="0.25">
      <c r="A85"/>
      <c r="B85"/>
      <c r="C85" s="68" t="s">
        <v>143</v>
      </c>
      <c r="D85" s="92" t="s">
        <v>24</v>
      </c>
      <c r="E85" s="95">
        <v>20</v>
      </c>
      <c r="F85" s="96"/>
      <c r="G85" s="16">
        <f>F43+F42</f>
        <v>155307500</v>
      </c>
      <c r="H85" s="16">
        <f>G43+G42</f>
        <v>166885395</v>
      </c>
      <c r="I85" s="16">
        <f>H43+H42</f>
        <v>176933138.09999996</v>
      </c>
      <c r="J85" s="16">
        <f>I43+I42</f>
        <v>187852839.58199999</v>
      </c>
      <c r="K85" s="16">
        <f>J43+J42</f>
        <v>199729038.96564001</v>
      </c>
      <c r="L85" s="83"/>
    </row>
    <row r="86" spans="1:12" x14ac:dyDescent="0.25">
      <c r="A86"/>
      <c r="B86"/>
      <c r="C86" s="68" t="s">
        <v>145</v>
      </c>
      <c r="D86" s="92" t="s">
        <v>24</v>
      </c>
      <c r="E86" s="95">
        <v>8</v>
      </c>
      <c r="F86" s="96"/>
      <c r="G86" s="16">
        <f>-'COSTOS Y GASTOS'!F139</f>
        <v>-4960000</v>
      </c>
      <c r="H86" s="16">
        <f t="shared" ref="H86:K87" si="10">G86</f>
        <v>-4960000</v>
      </c>
      <c r="I86" s="16">
        <f t="shared" si="10"/>
        <v>-4960000</v>
      </c>
      <c r="J86" s="16">
        <f t="shared" si="10"/>
        <v>-4960000</v>
      </c>
      <c r="K86" s="16">
        <f t="shared" si="10"/>
        <v>-4960000</v>
      </c>
      <c r="L86" s="83"/>
    </row>
    <row r="87" spans="1:12" x14ac:dyDescent="0.25">
      <c r="A87"/>
      <c r="B87"/>
      <c r="C87" s="68" t="s">
        <v>51</v>
      </c>
      <c r="D87" s="92" t="s">
        <v>24</v>
      </c>
      <c r="E87" s="95">
        <v>13</v>
      </c>
      <c r="F87" s="96"/>
      <c r="G87" s="16">
        <f>-('COSTOS Y GASTOS'!F127+'COSTOS Y GASTOS'!F128+'COSTOS Y GASTOS'!F129+'COSTOS Y GASTOS'!F130+'COSTOS Y GASTOS'!F131)</f>
        <v>-4263999.9999999991</v>
      </c>
      <c r="H87" s="16">
        <f t="shared" si="10"/>
        <v>-4263999.9999999991</v>
      </c>
      <c r="I87" s="16">
        <f t="shared" si="10"/>
        <v>-4263999.9999999991</v>
      </c>
      <c r="J87" s="16">
        <f t="shared" si="10"/>
        <v>-4263999.9999999991</v>
      </c>
      <c r="K87" s="16">
        <f t="shared" si="10"/>
        <v>-4263999.9999999991</v>
      </c>
      <c r="L87" s="83"/>
    </row>
    <row r="88" spans="1:12" x14ac:dyDescent="0.25">
      <c r="A88"/>
      <c r="B88"/>
      <c r="C88" s="68" t="s">
        <v>146</v>
      </c>
      <c r="D88" s="92" t="s">
        <v>24</v>
      </c>
      <c r="E88" s="95">
        <v>20</v>
      </c>
      <c r="F88" s="96"/>
      <c r="G88" s="16">
        <f>F44</f>
        <v>331449323.42039996</v>
      </c>
      <c r="H88" s="16">
        <f>G44</f>
        <v>364594255.76243997</v>
      </c>
      <c r="I88" s="16">
        <f>H44</f>
        <v>401053681.33868402</v>
      </c>
      <c r="J88" s="16">
        <f>I44</f>
        <v>441159049.47255248</v>
      </c>
      <c r="K88" s="16">
        <f>J44</f>
        <v>485274954.41980779</v>
      </c>
      <c r="L88" s="83"/>
    </row>
    <row r="89" spans="1:12" x14ac:dyDescent="0.25">
      <c r="A89"/>
      <c r="B89"/>
      <c r="C89" s="68" t="s">
        <v>153</v>
      </c>
      <c r="D89" s="92" t="s">
        <v>24</v>
      </c>
      <c r="E89" s="95">
        <v>32</v>
      </c>
      <c r="F89" s="96"/>
      <c r="H89" s="16">
        <f>F56</f>
        <v>12372952.506353473</v>
      </c>
      <c r="I89" s="16">
        <f>G56</f>
        <v>51800355.363386065</v>
      </c>
      <c r="J89" s="16">
        <f>H56</f>
        <v>56149268.648218013</v>
      </c>
      <c r="K89" s="16">
        <f>I56</f>
        <v>61658950.826771535</v>
      </c>
      <c r="L89" s="6"/>
    </row>
    <row r="90" spans="1:12" ht="15" customHeight="1" x14ac:dyDescent="0.25">
      <c r="A90"/>
      <c r="B90"/>
      <c r="C90" s="303" t="s">
        <v>147</v>
      </c>
      <c r="D90" s="309"/>
      <c r="E90" s="310"/>
      <c r="F90" s="315"/>
      <c r="G90" s="302">
        <f>SUM(G85:G89)</f>
        <v>477532823.42039996</v>
      </c>
      <c r="H90" s="302">
        <f>SUM(H85:H89)</f>
        <v>534628603.26879346</v>
      </c>
      <c r="I90" s="302">
        <f>SUM(I85:I89)</f>
        <v>620563174.80207002</v>
      </c>
      <c r="J90" s="302">
        <f>SUM(J85:J89)</f>
        <v>675937157.70277047</v>
      </c>
      <c r="K90" s="302">
        <f>SUM(K85:K89)</f>
        <v>737438944.21221924</v>
      </c>
      <c r="L90" s="83"/>
    </row>
    <row r="91" spans="1:12" ht="6" customHeight="1" x14ac:dyDescent="0.25">
      <c r="A91"/>
      <c r="B91"/>
      <c r="L91" s="83"/>
    </row>
    <row r="92" spans="1:12" x14ac:dyDescent="0.25">
      <c r="A92"/>
      <c r="B92"/>
      <c r="C92" s="432" t="s">
        <v>149</v>
      </c>
      <c r="D92" s="433"/>
      <c r="E92" s="434"/>
      <c r="F92" s="310"/>
      <c r="G92" s="302">
        <f>G82-G90</f>
        <v>214674280.96600026</v>
      </c>
      <c r="H92" s="302">
        <f>H82-H90</f>
        <v>289904019.55624712</v>
      </c>
      <c r="I92" s="302">
        <f>I82-I90</f>
        <v>230859901.90547454</v>
      </c>
      <c r="J92" s="302">
        <f>J82-J90</f>
        <v>202479157.85552812</v>
      </c>
      <c r="K92" s="302">
        <f>K82-K90</f>
        <v>167954360.64090991</v>
      </c>
      <c r="L92" s="83"/>
    </row>
    <row r="93" spans="1:12" ht="8.25" customHeight="1" x14ac:dyDescent="0.25">
      <c r="A93"/>
      <c r="B93"/>
      <c r="L93" s="83"/>
    </row>
    <row r="94" spans="1:12" ht="10.5" customHeight="1" x14ac:dyDescent="0.25">
      <c r="A94" s="83"/>
      <c r="B94"/>
      <c r="C94" s="58" t="s">
        <v>150</v>
      </c>
      <c r="D94" s="22"/>
      <c r="E94" s="22"/>
      <c r="F94" s="22"/>
      <c r="G94" s="22"/>
      <c r="H94" s="22"/>
      <c r="I94" s="22"/>
      <c r="J94" s="22"/>
      <c r="K94" s="22"/>
      <c r="L94" s="83"/>
    </row>
    <row r="95" spans="1:12" x14ac:dyDescent="0.25">
      <c r="A95"/>
      <c r="B95"/>
      <c r="C95" s="68" t="s">
        <v>27</v>
      </c>
      <c r="D95" s="92" t="s">
        <v>24</v>
      </c>
      <c r="E95" s="95">
        <v>7</v>
      </c>
      <c r="F95" s="16">
        <f>'COSTOS Y GASTOS'!E192</f>
        <v>280150000</v>
      </c>
      <c r="G95" s="16"/>
      <c r="H95" s="16"/>
      <c r="I95" s="16"/>
      <c r="J95" s="16"/>
      <c r="K95" s="16"/>
      <c r="L95" s="83"/>
    </row>
    <row r="96" spans="1:12" x14ac:dyDescent="0.25">
      <c r="A96" s="83"/>
      <c r="B96"/>
      <c r="C96" s="68" t="s">
        <v>115</v>
      </c>
      <c r="D96" s="92" t="s">
        <v>24</v>
      </c>
      <c r="E96" s="95">
        <v>8</v>
      </c>
      <c r="F96" s="16">
        <f>'COSTOS Y GASTOS'!E193</f>
        <v>24800000</v>
      </c>
      <c r="G96" s="16"/>
      <c r="H96" s="16"/>
      <c r="I96" s="16"/>
      <c r="J96" s="16"/>
      <c r="K96" s="16"/>
      <c r="L96" s="83"/>
    </row>
    <row r="97" spans="1:16" x14ac:dyDescent="0.25">
      <c r="A97"/>
      <c r="B97"/>
      <c r="C97" s="68" t="s">
        <v>151</v>
      </c>
      <c r="D97" s="92" t="s">
        <v>24</v>
      </c>
      <c r="E97" s="95">
        <v>22</v>
      </c>
      <c r="F97" s="16">
        <f>'COSTOS Y GASTOS'!E194</f>
        <v>418242155.29105681</v>
      </c>
      <c r="G97" s="16"/>
      <c r="H97" s="16"/>
      <c r="I97" s="16"/>
      <c r="J97" s="16"/>
      <c r="K97" s="16"/>
      <c r="L97" s="83"/>
    </row>
    <row r="98" spans="1:16" x14ac:dyDescent="0.25">
      <c r="A98"/>
      <c r="B98"/>
      <c r="C98" s="424" t="s">
        <v>152</v>
      </c>
      <c r="D98" s="425"/>
      <c r="E98" s="426"/>
      <c r="F98" s="316">
        <f t="shared" ref="F98:K98" si="11">SUM(F95:F97)</f>
        <v>723192155.29105687</v>
      </c>
      <c r="G98" s="316">
        <f t="shared" si="11"/>
        <v>0</v>
      </c>
      <c r="H98" s="316">
        <f t="shared" si="11"/>
        <v>0</v>
      </c>
      <c r="I98" s="316">
        <f t="shared" si="11"/>
        <v>0</v>
      </c>
      <c r="J98" s="316">
        <f t="shared" si="11"/>
        <v>0</v>
      </c>
      <c r="K98" s="316">
        <f t="shared" si="11"/>
        <v>0</v>
      </c>
      <c r="L98" s="83"/>
    </row>
    <row r="99" spans="1:16" ht="6" customHeight="1" x14ac:dyDescent="0.25">
      <c r="A99"/>
      <c r="B99"/>
      <c r="D99" s="97"/>
      <c r="E99" s="98"/>
      <c r="F99" s="6"/>
      <c r="L99" s="83"/>
    </row>
    <row r="100" spans="1:16" x14ac:dyDescent="0.25">
      <c r="A100"/>
      <c r="B100"/>
      <c r="C100" s="303" t="s">
        <v>155</v>
      </c>
      <c r="D100" s="317"/>
      <c r="E100" s="318"/>
      <c r="F100" s="302">
        <f t="shared" ref="F100:K100" si="12">F92-F98</f>
        <v>-723192155.29105687</v>
      </c>
      <c r="G100" s="302">
        <f t="shared" si="12"/>
        <v>214674280.96600026</v>
      </c>
      <c r="H100" s="302">
        <f t="shared" si="12"/>
        <v>289904019.55624712</v>
      </c>
      <c r="I100" s="302">
        <f t="shared" si="12"/>
        <v>230859901.90547454</v>
      </c>
      <c r="J100" s="302">
        <f t="shared" si="12"/>
        <v>202479157.85552812</v>
      </c>
      <c r="K100" s="302">
        <f t="shared" si="12"/>
        <v>167954360.64090991</v>
      </c>
      <c r="L100" s="83"/>
    </row>
    <row r="101" spans="1:16" ht="5.25" customHeight="1" x14ac:dyDescent="0.25">
      <c r="A101"/>
      <c r="B101"/>
      <c r="L101" s="83"/>
    </row>
    <row r="102" spans="1:16" x14ac:dyDescent="0.25">
      <c r="A102"/>
      <c r="B102"/>
      <c r="C102" s="58" t="s">
        <v>310</v>
      </c>
      <c r="D102" s="22"/>
      <c r="E102" s="22"/>
      <c r="F102" s="22"/>
      <c r="G102" s="22"/>
      <c r="H102" s="22"/>
      <c r="I102" s="22"/>
      <c r="J102" s="22"/>
      <c r="K102" s="22"/>
      <c r="L102" s="83"/>
    </row>
    <row r="103" spans="1:16" x14ac:dyDescent="0.25">
      <c r="A103"/>
      <c r="B103"/>
      <c r="C103" s="68" t="s">
        <v>311</v>
      </c>
      <c r="D103" s="92"/>
      <c r="E103" s="95"/>
      <c r="F103" s="16">
        <f>'COSTOS Y GASTOS'!D201</f>
        <v>100000000</v>
      </c>
      <c r="G103" s="16"/>
      <c r="H103" s="16"/>
      <c r="I103" s="16"/>
      <c r="J103" s="16"/>
      <c r="K103" s="16"/>
      <c r="L103" s="83"/>
    </row>
    <row r="104" spans="1:16" x14ac:dyDescent="0.25">
      <c r="A104"/>
      <c r="B104"/>
      <c r="C104" s="68" t="s">
        <v>312</v>
      </c>
      <c r="D104" s="92" t="s">
        <v>24</v>
      </c>
      <c r="E104" s="99">
        <v>25</v>
      </c>
      <c r="F104" s="16">
        <f>CRÉDITO!F5</f>
        <v>623192155.29105687</v>
      </c>
      <c r="G104" s="16"/>
      <c r="H104" s="16"/>
      <c r="I104" s="16"/>
      <c r="J104" s="16"/>
      <c r="K104" s="16"/>
      <c r="L104" s="83"/>
    </row>
    <row r="105" spans="1:16" x14ac:dyDescent="0.25">
      <c r="A105"/>
      <c r="B105"/>
      <c r="C105" s="68" t="s">
        <v>313</v>
      </c>
      <c r="D105" s="92"/>
      <c r="E105" s="99"/>
      <c r="F105" s="16"/>
      <c r="G105" s="16"/>
      <c r="H105" s="16"/>
      <c r="I105" s="16"/>
      <c r="J105" s="16"/>
      <c r="K105" s="16"/>
      <c r="L105" s="83"/>
    </row>
    <row r="106" spans="1:16" x14ac:dyDescent="0.25">
      <c r="A106"/>
      <c r="B106"/>
      <c r="C106" s="303" t="s">
        <v>314</v>
      </c>
      <c r="D106" s="309"/>
      <c r="E106" s="310"/>
      <c r="F106" s="302">
        <f t="shared" ref="F106:K106" si="13">F103+F104+F105</f>
        <v>723192155.29105687</v>
      </c>
      <c r="G106" s="302">
        <f t="shared" si="13"/>
        <v>0</v>
      </c>
      <c r="H106" s="302">
        <f t="shared" si="13"/>
        <v>0</v>
      </c>
      <c r="I106" s="302">
        <f t="shared" si="13"/>
        <v>0</v>
      </c>
      <c r="J106" s="302">
        <f t="shared" si="13"/>
        <v>0</v>
      </c>
      <c r="K106" s="302">
        <f t="shared" si="13"/>
        <v>0</v>
      </c>
      <c r="L106" s="83"/>
    </row>
    <row r="107" spans="1:16" hidden="1" x14ac:dyDescent="0.25">
      <c r="A107"/>
      <c r="B107"/>
      <c r="D107" s="97"/>
      <c r="E107" s="98"/>
      <c r="F107" s="6"/>
      <c r="L107" s="83"/>
    </row>
    <row r="108" spans="1:16" ht="6.75" customHeight="1" x14ac:dyDescent="0.25">
      <c r="A108"/>
      <c r="B108"/>
      <c r="L108" s="83"/>
      <c r="M108" s="6"/>
      <c r="N108" s="6"/>
      <c r="O108" s="6"/>
      <c r="P108" s="6"/>
    </row>
    <row r="109" spans="1:16" x14ac:dyDescent="0.25">
      <c r="A109"/>
      <c r="B109"/>
      <c r="C109" s="58" t="s">
        <v>315</v>
      </c>
      <c r="D109" s="22"/>
      <c r="E109" s="22"/>
      <c r="F109" s="22"/>
      <c r="G109" s="22"/>
      <c r="H109" s="22"/>
      <c r="I109" s="22"/>
      <c r="J109" s="22"/>
      <c r="K109" s="22"/>
      <c r="L109" s="83"/>
    </row>
    <row r="110" spans="1:16" x14ac:dyDescent="0.25">
      <c r="A110"/>
      <c r="B110"/>
      <c r="C110" s="68" t="s">
        <v>316</v>
      </c>
      <c r="D110" s="92"/>
      <c r="E110" s="65"/>
      <c r="F110" s="14"/>
      <c r="G110" s="16">
        <f>CRÉDITO!O14</f>
        <v>109835325.7636265</v>
      </c>
      <c r="H110" s="16">
        <f>CRÉDITO!O15</f>
        <v>136055273.11569062</v>
      </c>
      <c r="I110" s="16">
        <f>CRÉDITO!O16</f>
        <v>168534460.23752195</v>
      </c>
      <c r="J110" s="16">
        <f>CRÉDITO!O17</f>
        <v>208767096.17421788</v>
      </c>
      <c r="K110" s="16">
        <f>CRÉDITO!O18</f>
        <v>7.1144262425758824E-8</v>
      </c>
      <c r="L110" s="83"/>
      <c r="M110" s="6"/>
      <c r="N110" s="6"/>
      <c r="O110" s="6"/>
      <c r="P110" s="6"/>
    </row>
    <row r="111" spans="1:16" x14ac:dyDescent="0.25">
      <c r="A111"/>
      <c r="B111"/>
      <c r="C111" s="68" t="s">
        <v>317</v>
      </c>
      <c r="D111" s="92"/>
      <c r="E111" s="65"/>
      <c r="F111" s="14"/>
      <c r="G111" s="16">
        <f>CRÉDITO!N14</f>
        <v>124155788.09070462</v>
      </c>
      <c r="H111" s="16">
        <f>CRÉDITO!N15</f>
        <v>97935840.738640428</v>
      </c>
      <c r="I111" s="16">
        <f>CRÉDITO!N16</f>
        <v>65456653.6168091</v>
      </c>
      <c r="J111" s="16">
        <f>CRÉDITO!N17</f>
        <v>25224017.680113167</v>
      </c>
      <c r="K111" s="16">
        <f>CRÉDITO!N18</f>
        <v>-7.1144262425758824E-8</v>
      </c>
      <c r="L111" s="83"/>
    </row>
    <row r="112" spans="1:16" x14ac:dyDescent="0.25">
      <c r="A112"/>
      <c r="B112"/>
      <c r="C112" s="68" t="s">
        <v>154</v>
      </c>
      <c r="D112" s="92"/>
      <c r="E112" s="92"/>
      <c r="F112" s="14"/>
      <c r="G112" s="16">
        <f>F50</f>
        <v>7567200</v>
      </c>
      <c r="H112" s="16">
        <f>G50</f>
        <v>8740116.0000000019</v>
      </c>
      <c r="I112" s="16">
        <f>H50</f>
        <v>9177121.8000000026</v>
      </c>
      <c r="J112" s="16">
        <f>I50</f>
        <v>9635977.8900000025</v>
      </c>
      <c r="K112" s="16">
        <f>J50</f>
        <v>10117776.784500005</v>
      </c>
      <c r="L112" s="83"/>
      <c r="M112" s="6"/>
      <c r="N112" s="6"/>
      <c r="O112" s="6"/>
      <c r="P112" s="6"/>
    </row>
    <row r="113" spans="1:16" x14ac:dyDescent="0.25">
      <c r="A113"/>
      <c r="B113"/>
      <c r="C113" s="68" t="s">
        <v>318</v>
      </c>
      <c r="D113" s="92"/>
      <c r="E113" s="92"/>
      <c r="F113" s="14"/>
      <c r="G113" s="16"/>
      <c r="H113" s="16"/>
      <c r="I113" s="16"/>
      <c r="J113" s="16"/>
      <c r="K113" s="16"/>
      <c r="L113" s="83"/>
    </row>
    <row r="114" spans="1:16" x14ac:dyDescent="0.25">
      <c r="A114"/>
      <c r="B114"/>
      <c r="C114" s="303" t="s">
        <v>319</v>
      </c>
      <c r="D114" s="309"/>
      <c r="E114" s="310"/>
      <c r="F114" s="302">
        <f t="shared" ref="F114:K114" si="14">SUM(F110:F113)</f>
        <v>0</v>
      </c>
      <c r="G114" s="302">
        <f t="shared" si="14"/>
        <v>241558313.85433114</v>
      </c>
      <c r="H114" s="302">
        <f t="shared" si="14"/>
        <v>242731229.85433105</v>
      </c>
      <c r="I114" s="302">
        <f t="shared" si="14"/>
        <v>243168235.65433106</v>
      </c>
      <c r="J114" s="302">
        <f t="shared" si="14"/>
        <v>243627091.74433106</v>
      </c>
      <c r="K114" s="302">
        <f t="shared" si="14"/>
        <v>10117776.784500005</v>
      </c>
      <c r="L114" s="83"/>
      <c r="M114" s="6"/>
      <c r="N114" s="6"/>
      <c r="O114" s="6"/>
      <c r="P114" s="6"/>
    </row>
    <row r="115" spans="1:16" ht="8.25" customHeight="1" x14ac:dyDescent="0.25">
      <c r="A115"/>
      <c r="B115"/>
      <c r="L115" s="83"/>
    </row>
    <row r="116" spans="1:16" x14ac:dyDescent="0.25">
      <c r="A116"/>
      <c r="B116"/>
      <c r="C116" s="303" t="s">
        <v>309</v>
      </c>
      <c r="D116" s="317"/>
      <c r="E116" s="318"/>
      <c r="F116" s="302">
        <f t="shared" ref="F116:K116" si="15">F106-F114</f>
        <v>723192155.29105687</v>
      </c>
      <c r="G116" s="302">
        <f t="shared" si="15"/>
        <v>-241558313.85433114</v>
      </c>
      <c r="H116" s="302">
        <f t="shared" si="15"/>
        <v>-242731229.85433105</v>
      </c>
      <c r="I116" s="302">
        <f t="shared" si="15"/>
        <v>-243168235.65433106</v>
      </c>
      <c r="J116" s="302">
        <f t="shared" si="15"/>
        <v>-243627091.74433106</v>
      </c>
      <c r="K116" s="302">
        <f t="shared" si="15"/>
        <v>-10117776.784500005</v>
      </c>
      <c r="L116" s="83"/>
    </row>
    <row r="117" spans="1:16" ht="5.25" customHeight="1" x14ac:dyDescent="0.25">
      <c r="A117"/>
      <c r="B117"/>
      <c r="L117" s="83"/>
    </row>
    <row r="118" spans="1:16" ht="3" customHeight="1" x14ac:dyDescent="0.25">
      <c r="A118"/>
      <c r="B118"/>
      <c r="L118" s="83"/>
    </row>
    <row r="119" spans="1:16" x14ac:dyDescent="0.25">
      <c r="A119"/>
      <c r="B119"/>
      <c r="C119" s="303" t="s">
        <v>320</v>
      </c>
      <c r="D119" s="309"/>
      <c r="E119" s="309"/>
      <c r="F119" s="302">
        <f t="shared" ref="F119:K119" si="16">F100+F116</f>
        <v>0</v>
      </c>
      <c r="G119" s="302">
        <f>G100+G116</f>
        <v>-26884032.888330877</v>
      </c>
      <c r="H119" s="302">
        <f t="shared" si="16"/>
        <v>47172789.701916069</v>
      </c>
      <c r="I119" s="302">
        <f t="shared" si="16"/>
        <v>-12308333.748856515</v>
      </c>
      <c r="J119" s="302">
        <f t="shared" si="16"/>
        <v>-41147933.888802946</v>
      </c>
      <c r="K119" s="302">
        <f t="shared" si="16"/>
        <v>157836583.85640991</v>
      </c>
      <c r="L119" s="83"/>
    </row>
    <row r="120" spans="1:16" ht="6" customHeight="1" x14ac:dyDescent="0.25">
      <c r="A120"/>
      <c r="B120"/>
      <c r="L120" s="83"/>
    </row>
    <row r="121" spans="1:16" x14ac:dyDescent="0.25">
      <c r="A121"/>
      <c r="B121"/>
      <c r="C121" s="68" t="s">
        <v>321</v>
      </c>
      <c r="D121" s="100"/>
      <c r="E121" s="77"/>
      <c r="F121" s="16">
        <f>F100+F119</f>
        <v>-723192155.29105687</v>
      </c>
      <c r="G121" s="16">
        <f>G119</f>
        <v>-26884032.888330877</v>
      </c>
      <c r="H121" s="16">
        <f>H119</f>
        <v>47172789.701916069</v>
      </c>
      <c r="I121" s="16">
        <f>I119</f>
        <v>-12308333.748856515</v>
      </c>
      <c r="J121" s="16">
        <f>J119</f>
        <v>-41147933.888802946</v>
      </c>
      <c r="K121" s="16">
        <f>K119</f>
        <v>157836583.85640991</v>
      </c>
      <c r="L121" s="83"/>
    </row>
    <row r="122" spans="1:16" x14ac:dyDescent="0.25">
      <c r="A122"/>
      <c r="B122"/>
      <c r="C122" s="68" t="s">
        <v>322</v>
      </c>
      <c r="D122" s="100"/>
      <c r="E122" s="77"/>
      <c r="F122" s="14"/>
      <c r="G122" s="16">
        <f>'COSTOS Y GASTOS'!E194</f>
        <v>418242155.29105681</v>
      </c>
      <c r="H122" s="16">
        <f>G124</f>
        <v>391358122.40272593</v>
      </c>
      <c r="I122" s="16">
        <f>H124</f>
        <v>438530912.10464203</v>
      </c>
      <c r="J122" s="16">
        <f>I124</f>
        <v>426222578.35578549</v>
      </c>
      <c r="K122" s="16">
        <f>J124</f>
        <v>385074644.46698254</v>
      </c>
      <c r="L122" s="83"/>
    </row>
    <row r="123" spans="1:16" ht="6.75" customHeight="1" x14ac:dyDescent="0.25">
      <c r="A123"/>
      <c r="B123"/>
      <c r="L123" s="83"/>
    </row>
    <row r="124" spans="1:16" x14ac:dyDescent="0.25">
      <c r="A124"/>
      <c r="B124"/>
      <c r="C124" s="303" t="s">
        <v>323</v>
      </c>
      <c r="D124" s="306"/>
      <c r="E124" s="308"/>
      <c r="F124" s="302">
        <f t="shared" ref="F124:K124" si="17">F121+F122</f>
        <v>-723192155.29105687</v>
      </c>
      <c r="G124" s="302">
        <f>G121+G122</f>
        <v>391358122.40272593</v>
      </c>
      <c r="H124" s="302">
        <f t="shared" si="17"/>
        <v>438530912.10464203</v>
      </c>
      <c r="I124" s="302">
        <f t="shared" si="17"/>
        <v>426222578.35578549</v>
      </c>
      <c r="J124" s="302">
        <f t="shared" si="17"/>
        <v>385074644.46698254</v>
      </c>
      <c r="K124" s="302">
        <f t="shared" si="17"/>
        <v>542911228.32339239</v>
      </c>
      <c r="L124" s="83"/>
    </row>
    <row r="125" spans="1:16" x14ac:dyDescent="0.25">
      <c r="K125" s="6"/>
      <c r="L125" s="6"/>
    </row>
    <row r="126" spans="1:16" x14ac:dyDescent="0.25">
      <c r="K126" s="6"/>
      <c r="L126" s="6"/>
    </row>
    <row r="127" spans="1:16" x14ac:dyDescent="0.25">
      <c r="K127" s="6"/>
      <c r="L127" s="6"/>
    </row>
    <row r="128" spans="1:16" x14ac:dyDescent="0.25">
      <c r="G128" s="6"/>
      <c r="H128" s="6"/>
      <c r="I128" s="6"/>
      <c r="J128" s="6"/>
      <c r="K128" s="6"/>
      <c r="L128" s="6"/>
    </row>
    <row r="129" spans="1:13" x14ac:dyDescent="0.25">
      <c r="A129" s="5" t="s">
        <v>24</v>
      </c>
      <c r="B129" s="5">
        <v>34</v>
      </c>
      <c r="C129" s="5" t="s">
        <v>167</v>
      </c>
      <c r="K129" s="6"/>
      <c r="L129" s="6"/>
    </row>
    <row r="130" spans="1:13" x14ac:dyDescent="0.25">
      <c r="K130" s="6"/>
      <c r="L130" s="6"/>
    </row>
    <row r="131" spans="1:13" x14ac:dyDescent="0.25">
      <c r="D131" s="22"/>
      <c r="E131" s="22"/>
      <c r="F131" s="297" t="s">
        <v>12</v>
      </c>
      <c r="G131" s="297" t="s">
        <v>12</v>
      </c>
      <c r="H131" s="297" t="s">
        <v>12</v>
      </c>
      <c r="I131" s="297" t="s">
        <v>12</v>
      </c>
      <c r="J131" s="297" t="s">
        <v>12</v>
      </c>
      <c r="K131" s="297" t="s">
        <v>12</v>
      </c>
      <c r="L131" s="6"/>
    </row>
    <row r="132" spans="1:13" x14ac:dyDescent="0.25">
      <c r="C132" s="22"/>
      <c r="D132" s="80"/>
      <c r="E132" s="101"/>
      <c r="F132" s="300">
        <v>0</v>
      </c>
      <c r="G132" s="300">
        <v>1</v>
      </c>
      <c r="H132" s="300">
        <v>2</v>
      </c>
      <c r="I132" s="300">
        <v>3</v>
      </c>
      <c r="J132" s="300">
        <v>4</v>
      </c>
      <c r="K132" s="300">
        <v>5</v>
      </c>
      <c r="L132" s="6"/>
    </row>
    <row r="133" spans="1:13" x14ac:dyDescent="0.25">
      <c r="C133" s="102" t="s">
        <v>158</v>
      </c>
      <c r="D133" s="103" t="s">
        <v>24</v>
      </c>
      <c r="E133" s="103">
        <v>33</v>
      </c>
      <c r="F133" s="104">
        <f>'COSTOS Y GASTOS'!E194</f>
        <v>418242155.29105681</v>
      </c>
      <c r="G133" s="20">
        <f>G124</f>
        <v>391358122.40272593</v>
      </c>
      <c r="H133" s="16">
        <f>H124</f>
        <v>438530912.10464203</v>
      </c>
      <c r="I133" s="16">
        <f>I124</f>
        <v>426222578.35578549</v>
      </c>
      <c r="J133" s="16">
        <f>J124</f>
        <v>385074644.46698254</v>
      </c>
      <c r="K133" s="16">
        <f>K124</f>
        <v>542911228.32339239</v>
      </c>
      <c r="L133" s="6"/>
    </row>
    <row r="134" spans="1:13" x14ac:dyDescent="0.25">
      <c r="C134" s="303" t="s">
        <v>159</v>
      </c>
      <c r="D134" s="319"/>
      <c r="E134" s="319"/>
      <c r="F134" s="320">
        <f t="shared" ref="F134:K134" si="18">F133</f>
        <v>418242155.29105681</v>
      </c>
      <c r="G134" s="305">
        <f t="shared" si="18"/>
        <v>391358122.40272593</v>
      </c>
      <c r="H134" s="302">
        <f t="shared" si="18"/>
        <v>438530912.10464203</v>
      </c>
      <c r="I134" s="302">
        <f t="shared" si="18"/>
        <v>426222578.35578549</v>
      </c>
      <c r="J134" s="302">
        <f t="shared" si="18"/>
        <v>385074644.46698254</v>
      </c>
      <c r="K134" s="302">
        <f t="shared" si="18"/>
        <v>542911228.32339239</v>
      </c>
      <c r="L134" s="6"/>
    </row>
    <row r="135" spans="1:13" x14ac:dyDescent="0.25">
      <c r="C135" s="435"/>
      <c r="D135" s="436"/>
      <c r="E135" s="437"/>
      <c r="F135" s="104"/>
      <c r="L135" s="6"/>
    </row>
    <row r="136" spans="1:13" x14ac:dyDescent="0.25">
      <c r="C136" s="93" t="s">
        <v>84</v>
      </c>
      <c r="D136" s="73" t="s">
        <v>24</v>
      </c>
      <c r="E136" s="73">
        <v>1</v>
      </c>
      <c r="F136" s="104">
        <f>'INVERSIONES '!D90</f>
        <v>0</v>
      </c>
      <c r="G136" s="20">
        <f>'INVERSIONES '!E6</f>
        <v>0</v>
      </c>
      <c r="H136" s="16">
        <f t="shared" ref="H136:J137" si="19">G136</f>
        <v>0</v>
      </c>
      <c r="I136" s="16">
        <f>H136</f>
        <v>0</v>
      </c>
      <c r="J136" s="16">
        <f t="shared" si="19"/>
        <v>0</v>
      </c>
      <c r="K136" s="16">
        <f>J136</f>
        <v>0</v>
      </c>
      <c r="L136" s="6"/>
    </row>
    <row r="137" spans="1:13" x14ac:dyDescent="0.25">
      <c r="C137" s="68" t="s">
        <v>160</v>
      </c>
      <c r="D137" s="71" t="s">
        <v>24</v>
      </c>
      <c r="E137" s="71">
        <v>2</v>
      </c>
      <c r="F137" s="104">
        <f>'INVERSIONES '!D91</f>
        <v>0</v>
      </c>
      <c r="G137" s="20">
        <f>'INVERSIONES '!E12</f>
        <v>0</v>
      </c>
      <c r="H137" s="16">
        <f t="shared" si="19"/>
        <v>0</v>
      </c>
      <c r="I137" s="16">
        <f>H137</f>
        <v>0</v>
      </c>
      <c r="J137" s="16">
        <f t="shared" si="19"/>
        <v>0</v>
      </c>
      <c r="K137" s="16">
        <f>J137</f>
        <v>0</v>
      </c>
      <c r="L137" s="6"/>
    </row>
    <row r="138" spans="1:13" x14ac:dyDescent="0.25">
      <c r="C138" s="68" t="s">
        <v>161</v>
      </c>
      <c r="D138" s="71" t="s">
        <v>24</v>
      </c>
      <c r="E138" s="71">
        <v>3</v>
      </c>
      <c r="F138" s="16">
        <f>'INVERSIONES '!D92</f>
        <v>133900000</v>
      </c>
      <c r="G138" s="20">
        <f>'INVERSIONES '!D92</f>
        <v>133900000</v>
      </c>
      <c r="H138" s="20">
        <f>'INVERSIONES '!D92</f>
        <v>133900000</v>
      </c>
      <c r="I138" s="20">
        <f>'INVERSIONES '!D92</f>
        <v>133900000</v>
      </c>
      <c r="J138" s="20">
        <f>'INVERSIONES '!D92</f>
        <v>133900000</v>
      </c>
      <c r="K138" s="20">
        <f>'INVERSIONES '!D92</f>
        <v>133900000</v>
      </c>
      <c r="L138" s="6"/>
    </row>
    <row r="139" spans="1:13" x14ac:dyDescent="0.25">
      <c r="C139" s="68" t="s">
        <v>162</v>
      </c>
      <c r="D139" s="71" t="s">
        <v>24</v>
      </c>
      <c r="E139" s="71">
        <v>4</v>
      </c>
      <c r="F139" s="16">
        <f>'INVERSIONES '!D93</f>
        <v>44990000</v>
      </c>
      <c r="G139" s="20">
        <f>'INVERSIONES '!D93</f>
        <v>44990000</v>
      </c>
      <c r="H139" s="20">
        <f>'INVERSIONES '!D93</f>
        <v>44990000</v>
      </c>
      <c r="I139" s="20">
        <f>'INVERSIONES '!D93</f>
        <v>44990000</v>
      </c>
      <c r="J139" s="20">
        <f>'INVERSIONES '!D93</f>
        <v>44990000</v>
      </c>
      <c r="K139" s="20">
        <f>'INVERSIONES '!D93</f>
        <v>44990000</v>
      </c>
      <c r="L139" s="6"/>
    </row>
    <row r="140" spans="1:13" x14ac:dyDescent="0.25">
      <c r="C140" s="68" t="s">
        <v>166</v>
      </c>
      <c r="D140" s="71" t="s">
        <v>24</v>
      </c>
      <c r="E140" s="71">
        <v>5</v>
      </c>
      <c r="F140" s="16">
        <f>'INVERSIONES '!D94</f>
        <v>47770000</v>
      </c>
      <c r="G140" s="20">
        <f>'INVERSIONES '!D94</f>
        <v>47770000</v>
      </c>
      <c r="H140" s="20">
        <f>'INVERSIONES '!D94</f>
        <v>47770000</v>
      </c>
      <c r="I140" s="20">
        <f>'INVERSIONES '!D94</f>
        <v>47770000</v>
      </c>
      <c r="J140" s="20">
        <f>'INVERSIONES '!D94</f>
        <v>47770000</v>
      </c>
      <c r="K140" s="20">
        <f>'INVERSIONES '!D94</f>
        <v>47770000</v>
      </c>
      <c r="L140" s="6"/>
    </row>
    <row r="141" spans="1:13" x14ac:dyDescent="0.25">
      <c r="C141" s="68" t="s">
        <v>25</v>
      </c>
      <c r="D141" s="71" t="s">
        <v>24</v>
      </c>
      <c r="E141" s="71">
        <v>6</v>
      </c>
      <c r="F141" s="16">
        <f>'INVERSIONES '!D95</f>
        <v>53490000</v>
      </c>
      <c r="G141" s="20">
        <f>'INVERSIONES '!D95</f>
        <v>53490000</v>
      </c>
      <c r="H141" s="20">
        <f>'INVERSIONES '!D95</f>
        <v>53490000</v>
      </c>
      <c r="I141" s="20">
        <f>'INVERSIONES '!D95</f>
        <v>53490000</v>
      </c>
      <c r="J141" s="20">
        <f>'INVERSIONES '!D95</f>
        <v>53490000</v>
      </c>
      <c r="K141" s="20">
        <f>'INVERSIONES '!D95</f>
        <v>53490000</v>
      </c>
      <c r="L141" s="6"/>
    </row>
    <row r="142" spans="1:13" x14ac:dyDescent="0.25">
      <c r="C142" s="68" t="s">
        <v>163</v>
      </c>
      <c r="D142" s="71" t="s">
        <v>24</v>
      </c>
      <c r="E142" s="71">
        <v>13</v>
      </c>
      <c r="F142" s="16">
        <f>F78+F87</f>
        <v>0</v>
      </c>
      <c r="G142" s="20">
        <f>G78+G87</f>
        <v>-42640000</v>
      </c>
      <c r="H142" s="16">
        <f>G142+H78+H87</f>
        <v>-85280000</v>
      </c>
      <c r="I142" s="16">
        <f>H142+I78+I87</f>
        <v>-127920000</v>
      </c>
      <c r="J142" s="16">
        <f>I142+J78+J87</f>
        <v>-170560000</v>
      </c>
      <c r="K142" s="16">
        <f>J142+K78+K87</f>
        <v>-213200000</v>
      </c>
      <c r="L142" s="6"/>
    </row>
    <row r="143" spans="1:13" x14ac:dyDescent="0.25">
      <c r="C143" s="321" t="s">
        <v>164</v>
      </c>
      <c r="D143" s="319"/>
      <c r="E143" s="319"/>
      <c r="F143" s="320">
        <f t="shared" ref="F143:K143" si="20">SUM(F136:F142)</f>
        <v>280150000</v>
      </c>
      <c r="G143" s="305">
        <f t="shared" si="20"/>
        <v>237510000</v>
      </c>
      <c r="H143" s="302">
        <f t="shared" si="20"/>
        <v>194870000</v>
      </c>
      <c r="I143" s="302">
        <f t="shared" si="20"/>
        <v>152230000</v>
      </c>
      <c r="J143" s="302">
        <f t="shared" si="20"/>
        <v>109590000</v>
      </c>
      <c r="K143" s="302">
        <f t="shared" si="20"/>
        <v>66950000</v>
      </c>
      <c r="L143" s="6"/>
    </row>
    <row r="144" spans="1:13" x14ac:dyDescent="0.25">
      <c r="C144" s="102" t="s">
        <v>304</v>
      </c>
      <c r="D144" s="84" t="s">
        <v>24</v>
      </c>
      <c r="E144" s="84">
        <v>8</v>
      </c>
      <c r="F144" s="16">
        <f>'INVERSIONES '!D110</f>
        <v>24800000</v>
      </c>
      <c r="G144" s="20">
        <f>'INVERSIONES '!D110</f>
        <v>24800000</v>
      </c>
      <c r="H144" s="16">
        <f>G144</f>
        <v>24800000</v>
      </c>
      <c r="I144" s="16">
        <f>H144</f>
        <v>24800000</v>
      </c>
      <c r="J144" s="16">
        <f>I144</f>
        <v>24800000</v>
      </c>
      <c r="K144" s="16">
        <f>J144</f>
        <v>24800000</v>
      </c>
      <c r="L144" s="6"/>
      <c r="M144" s="6"/>
    </row>
    <row r="145" spans="3:12" x14ac:dyDescent="0.25">
      <c r="C145" s="102" t="s">
        <v>305</v>
      </c>
      <c r="D145" s="103"/>
      <c r="E145" s="103"/>
      <c r="F145" s="104"/>
      <c r="G145" s="20">
        <f>G86</f>
        <v>-4960000</v>
      </c>
      <c r="H145" s="16">
        <f>G145+G86</f>
        <v>-9920000</v>
      </c>
      <c r="I145" s="16">
        <f>H145+H86</f>
        <v>-14880000</v>
      </c>
      <c r="J145" s="16">
        <f>I145+I86</f>
        <v>-19840000</v>
      </c>
      <c r="K145" s="16">
        <f>J145+J86</f>
        <v>-24800000</v>
      </c>
      <c r="L145" s="6"/>
    </row>
    <row r="146" spans="3:12" x14ac:dyDescent="0.25">
      <c r="C146" s="321" t="s">
        <v>165</v>
      </c>
      <c r="D146" s="322"/>
      <c r="E146" s="322"/>
      <c r="F146" s="320">
        <f t="shared" ref="F146:K146" si="21">SUM(F144:F145)</f>
        <v>24800000</v>
      </c>
      <c r="G146" s="305">
        <f t="shared" si="21"/>
        <v>19840000</v>
      </c>
      <c r="H146" s="302">
        <f t="shared" si="21"/>
        <v>14880000</v>
      </c>
      <c r="I146" s="302">
        <f t="shared" si="21"/>
        <v>9920000</v>
      </c>
      <c r="J146" s="302">
        <f t="shared" si="21"/>
        <v>4960000</v>
      </c>
      <c r="K146" s="302">
        <f t="shared" si="21"/>
        <v>0</v>
      </c>
      <c r="L146" s="6"/>
    </row>
    <row r="147" spans="3:12" x14ac:dyDescent="0.25">
      <c r="C147" s="303" t="s">
        <v>324</v>
      </c>
      <c r="D147" s="306"/>
      <c r="E147" s="306"/>
      <c r="F147" s="305">
        <f t="shared" ref="F147:K147" si="22">F146+F143+F134</f>
        <v>723192155.29105687</v>
      </c>
      <c r="G147" s="305">
        <f t="shared" si="22"/>
        <v>648708122.40272593</v>
      </c>
      <c r="H147" s="302">
        <f t="shared" si="22"/>
        <v>648280912.10464203</v>
      </c>
      <c r="I147" s="302">
        <f t="shared" si="22"/>
        <v>588372578.35578549</v>
      </c>
      <c r="J147" s="302">
        <f t="shared" si="22"/>
        <v>499624644.46698254</v>
      </c>
      <c r="K147" s="302">
        <f t="shared" si="22"/>
        <v>609861228.32339239</v>
      </c>
      <c r="L147" s="6"/>
    </row>
    <row r="148" spans="3:12" x14ac:dyDescent="0.25">
      <c r="C148" s="105"/>
      <c r="D148" s="106"/>
      <c r="E148" s="106"/>
      <c r="F148" s="104"/>
      <c r="G148" s="106"/>
      <c r="H148" s="106"/>
      <c r="I148" s="106"/>
      <c r="J148" s="106"/>
      <c r="K148" s="107"/>
      <c r="L148" s="6"/>
    </row>
    <row r="149" spans="3:12" x14ac:dyDescent="0.25">
      <c r="C149" s="102" t="s">
        <v>168</v>
      </c>
      <c r="D149" s="108"/>
      <c r="E149" s="109"/>
      <c r="F149" s="16">
        <f>CRÉDITO!O14</f>
        <v>109835325.7636265</v>
      </c>
      <c r="G149" s="20">
        <f>CRÉDITO!O15</f>
        <v>136055273.11569062</v>
      </c>
      <c r="H149" s="16">
        <f>CRÉDITO!O16</f>
        <v>168534460.23752195</v>
      </c>
      <c r="I149" s="16">
        <f>CRÉDITO!O17</f>
        <v>208767096.17421788</v>
      </c>
      <c r="J149" s="16">
        <f>CRÉDITO!O18</f>
        <v>7.1144262425758824E-8</v>
      </c>
      <c r="K149" s="16">
        <f>CRÉDITO!P18</f>
        <v>-3.691674863027119E-7</v>
      </c>
      <c r="L149" s="6" t="s">
        <v>295</v>
      </c>
    </row>
    <row r="150" spans="3:12" x14ac:dyDescent="0.25">
      <c r="C150" s="102" t="s">
        <v>169</v>
      </c>
      <c r="D150" s="108"/>
      <c r="E150" s="103"/>
      <c r="F150" s="104"/>
      <c r="G150" s="20">
        <f>F56</f>
        <v>12372952.506353473</v>
      </c>
      <c r="H150" s="16">
        <f>G56</f>
        <v>51800355.363386065</v>
      </c>
      <c r="I150" s="16">
        <f>H56</f>
        <v>56149268.648218013</v>
      </c>
      <c r="J150" s="16">
        <f>I56</f>
        <v>61658950.826771535</v>
      </c>
      <c r="K150" s="16">
        <f>J56</f>
        <v>60163437.139113508</v>
      </c>
      <c r="L150" s="6"/>
    </row>
    <row r="151" spans="3:12" x14ac:dyDescent="0.25">
      <c r="C151" s="303" t="s">
        <v>170</v>
      </c>
      <c r="D151" s="309"/>
      <c r="E151" s="309"/>
      <c r="F151" s="305">
        <f t="shared" ref="F151:K151" si="23">SUM(F149:F150)</f>
        <v>109835325.7636265</v>
      </c>
      <c r="G151" s="305">
        <f t="shared" si="23"/>
        <v>148428225.62204409</v>
      </c>
      <c r="H151" s="302">
        <f t="shared" si="23"/>
        <v>220334815.60090801</v>
      </c>
      <c r="I151" s="302">
        <f t="shared" si="23"/>
        <v>264916364.82243589</v>
      </c>
      <c r="J151" s="302">
        <f t="shared" si="23"/>
        <v>61658950.826771609</v>
      </c>
      <c r="K151" s="302">
        <f t="shared" si="23"/>
        <v>60163437.139113136</v>
      </c>
      <c r="L151" s="6"/>
    </row>
    <row r="152" spans="3:12" x14ac:dyDescent="0.25">
      <c r="C152" s="418" t="s">
        <v>171</v>
      </c>
      <c r="D152" s="419"/>
      <c r="E152" s="420"/>
      <c r="F152" s="20">
        <f>CRÉDITO!P14</f>
        <v>513356829.52743036</v>
      </c>
      <c r="G152" s="20">
        <f>CRÉDITO!P15</f>
        <v>377301556.41173971</v>
      </c>
      <c r="H152" s="16">
        <f>CRÉDITO!P16</f>
        <v>208767096.17421764</v>
      </c>
      <c r="I152" s="16">
        <f>CRÉDITO!P17</f>
        <v>-2.9802322387695313E-7</v>
      </c>
      <c r="J152" s="16">
        <f>CRÉDITO!P18</f>
        <v>-3.691674863027119E-7</v>
      </c>
      <c r="K152" s="16">
        <f>CRÉDITO!P18</f>
        <v>-3.691674863027119E-7</v>
      </c>
      <c r="L152" s="6"/>
    </row>
    <row r="153" spans="3:12" x14ac:dyDescent="0.25">
      <c r="C153" s="303" t="s">
        <v>172</v>
      </c>
      <c r="D153" s="306"/>
      <c r="E153" s="306"/>
      <c r="F153" s="320">
        <f>SUM(F151:F152)</f>
        <v>623192155.29105687</v>
      </c>
      <c r="G153" s="305">
        <f>G151+G152</f>
        <v>525729782.03378379</v>
      </c>
      <c r="H153" s="302">
        <f>H151+H152</f>
        <v>429101911.77512562</v>
      </c>
      <c r="I153" s="302">
        <f>I151+I152</f>
        <v>264916364.82243559</v>
      </c>
      <c r="J153" s="302">
        <f>J151+J152</f>
        <v>61658950.826771237</v>
      </c>
      <c r="K153" s="302">
        <f>K151+K152</f>
        <v>60163437.139112763</v>
      </c>
      <c r="L153" s="6"/>
    </row>
    <row r="154" spans="3:12" x14ac:dyDescent="0.25">
      <c r="C154" s="105"/>
      <c r="D154" s="106"/>
      <c r="E154" s="106"/>
      <c r="F154" s="104"/>
      <c r="G154" s="106"/>
      <c r="H154" s="106"/>
      <c r="I154" s="106"/>
      <c r="J154" s="106"/>
      <c r="K154" s="107"/>
      <c r="L154" s="6"/>
    </row>
    <row r="155" spans="3:12" x14ac:dyDescent="0.25">
      <c r="C155" s="110" t="s">
        <v>173</v>
      </c>
      <c r="D155" s="111"/>
      <c r="E155" s="112"/>
      <c r="F155" s="104">
        <f>'COSTOS Y GASTOS'!D201</f>
        <v>100000000</v>
      </c>
      <c r="G155" s="20">
        <f>F155</f>
        <v>100000000</v>
      </c>
      <c r="H155" s="20">
        <f>G155</f>
        <v>100000000</v>
      </c>
      <c r="I155" s="20">
        <f>H155</f>
        <v>100000000</v>
      </c>
      <c r="J155" s="20">
        <f>I155</f>
        <v>100000000</v>
      </c>
      <c r="K155" s="20">
        <f>J155</f>
        <v>100000000</v>
      </c>
      <c r="L155" s="6"/>
    </row>
    <row r="156" spans="3:12" x14ac:dyDescent="0.25">
      <c r="C156" s="102" t="s">
        <v>174</v>
      </c>
      <c r="D156" s="108"/>
      <c r="E156" s="103"/>
      <c r="F156" s="104"/>
      <c r="G156" s="20"/>
      <c r="H156" s="16">
        <f>G157+G156</f>
        <v>22288990.157873899</v>
      </c>
      <c r="I156" s="16">
        <f>H157+H156</f>
        <v>115603630.3196308</v>
      </c>
      <c r="J156" s="16">
        <f>I157+I156</f>
        <v>216752527.12734926</v>
      </c>
      <c r="K156" s="16">
        <f>J157+J156</f>
        <v>327826722.83100486</v>
      </c>
      <c r="L156" s="6"/>
    </row>
    <row r="157" spans="3:12" x14ac:dyDescent="0.25">
      <c r="C157" s="102" t="s">
        <v>175</v>
      </c>
      <c r="D157" s="108"/>
      <c r="E157" s="103"/>
      <c r="F157" s="104"/>
      <c r="G157" s="20">
        <f>F62</f>
        <v>22288990.157873899</v>
      </c>
      <c r="H157" s="16">
        <f>G62</f>
        <v>93314640.161756903</v>
      </c>
      <c r="I157" s="16">
        <f>H62</f>
        <v>101148896.80771846</v>
      </c>
      <c r="J157" s="16">
        <f>I62</f>
        <v>111074195.7036556</v>
      </c>
      <c r="K157" s="16">
        <f>J62</f>
        <v>108380134.61774591</v>
      </c>
      <c r="L157" s="6"/>
    </row>
    <row r="158" spans="3:12" x14ac:dyDescent="0.25">
      <c r="C158" s="248" t="s">
        <v>393</v>
      </c>
      <c r="D158" s="113"/>
      <c r="E158" s="84"/>
      <c r="F158" s="104"/>
      <c r="G158" s="20">
        <f>F61</f>
        <v>689350.21106826491</v>
      </c>
      <c r="H158" s="16">
        <f>G158+G61</f>
        <v>3575370.0098854881</v>
      </c>
      <c r="I158" s="16">
        <f>H158+H61</f>
        <v>6703686.4060004912</v>
      </c>
      <c r="J158" s="16">
        <f>I158+I61</f>
        <v>10138970.809206335</v>
      </c>
      <c r="K158" s="16">
        <f>J158+J61</f>
        <v>13490933.735528372</v>
      </c>
      <c r="L158" s="6"/>
    </row>
    <row r="159" spans="3:12" x14ac:dyDescent="0.25">
      <c r="C159" s="303" t="s">
        <v>177</v>
      </c>
      <c r="D159" s="309"/>
      <c r="E159" s="309"/>
      <c r="F159" s="323">
        <f t="shared" ref="F159:K159" si="24">SUM(F155:F158)</f>
        <v>100000000</v>
      </c>
      <c r="G159" s="323">
        <f t="shared" si="24"/>
        <v>122978340.36894216</v>
      </c>
      <c r="H159" s="324">
        <f t="shared" si="24"/>
        <v>219179000.32951629</v>
      </c>
      <c r="I159" s="324">
        <f t="shared" si="24"/>
        <v>323456213.53334975</v>
      </c>
      <c r="J159" s="324">
        <f t="shared" si="24"/>
        <v>437965693.64021116</v>
      </c>
      <c r="K159" s="324">
        <f t="shared" si="24"/>
        <v>549697791.18427908</v>
      </c>
      <c r="L159" s="6"/>
    </row>
    <row r="160" spans="3:12" x14ac:dyDescent="0.25">
      <c r="C160" s="303" t="s">
        <v>178</v>
      </c>
      <c r="D160" s="309"/>
      <c r="E160" s="309"/>
      <c r="F160" s="320">
        <f t="shared" ref="F160:K160" si="25">F153+F159</f>
        <v>723192155.29105687</v>
      </c>
      <c r="G160" s="305">
        <f t="shared" si="25"/>
        <v>648708122.40272593</v>
      </c>
      <c r="H160" s="302">
        <f t="shared" si="25"/>
        <v>648280912.10464191</v>
      </c>
      <c r="I160" s="302">
        <f t="shared" si="25"/>
        <v>588372578.35578537</v>
      </c>
      <c r="J160" s="302">
        <f t="shared" si="25"/>
        <v>499624644.46698242</v>
      </c>
      <c r="K160" s="302">
        <f t="shared" si="25"/>
        <v>609861228.3233918</v>
      </c>
      <c r="L160" s="6"/>
    </row>
    <row r="161" spans="3:12" x14ac:dyDescent="0.25">
      <c r="F161" s="11"/>
    </row>
    <row r="162" spans="3:12" x14ac:dyDescent="0.25">
      <c r="F162" s="11"/>
      <c r="G162" s="6"/>
      <c r="H162" s="6"/>
      <c r="I162" s="6"/>
      <c r="J162" s="6"/>
      <c r="K162" s="6"/>
    </row>
    <row r="163" spans="3:12" x14ac:dyDescent="0.25">
      <c r="C163" s="303" t="s">
        <v>252</v>
      </c>
      <c r="D163" s="309"/>
      <c r="E163" s="309"/>
      <c r="F163" s="320">
        <f t="shared" ref="F163:K163" si="26">F147-F160</f>
        <v>0</v>
      </c>
      <c r="G163" s="302">
        <f t="shared" si="26"/>
        <v>0</v>
      </c>
      <c r="H163" s="302">
        <f t="shared" si="26"/>
        <v>0</v>
      </c>
      <c r="I163" s="302">
        <f t="shared" si="26"/>
        <v>0</v>
      </c>
      <c r="J163" s="302">
        <f t="shared" si="26"/>
        <v>0</v>
      </c>
      <c r="K163" s="302">
        <f t="shared" si="26"/>
        <v>0</v>
      </c>
    </row>
    <row r="164" spans="3:12" ht="19.5" customHeight="1" x14ac:dyDescent="0.3">
      <c r="F164" s="6"/>
      <c r="G164" s="114"/>
      <c r="H164" s="114"/>
      <c r="I164" s="114"/>
      <c r="L164" s="6"/>
    </row>
    <row r="165" spans="3:12" x14ac:dyDescent="0.25">
      <c r="F165" s="6"/>
      <c r="H165" s="6"/>
      <c r="J165" s="6"/>
      <c r="K165" s="6"/>
    </row>
    <row r="166" spans="3:12" x14ac:dyDescent="0.25">
      <c r="F166" s="6"/>
      <c r="H166" s="6"/>
      <c r="J166" s="6"/>
    </row>
    <row r="167" spans="3:12" x14ac:dyDescent="0.25">
      <c r="C167" s="5" t="s">
        <v>253</v>
      </c>
      <c r="D167" s="4" t="s">
        <v>295</v>
      </c>
      <c r="F167" s="6"/>
      <c r="H167" s="6"/>
      <c r="J167" s="6"/>
    </row>
    <row r="168" spans="3:12" x14ac:dyDescent="0.25">
      <c r="F168" s="6"/>
      <c r="G168" s="6"/>
      <c r="H168" s="6"/>
      <c r="I168" s="6"/>
      <c r="J168" s="6"/>
    </row>
    <row r="170" spans="3:12" x14ac:dyDescent="0.25">
      <c r="C170" s="5" t="s">
        <v>213</v>
      </c>
      <c r="F170" s="252" t="s">
        <v>12</v>
      </c>
      <c r="G170" s="297" t="s">
        <v>12</v>
      </c>
      <c r="H170" s="325" t="s">
        <v>12</v>
      </c>
      <c r="I170" s="297" t="s">
        <v>12</v>
      </c>
      <c r="J170" s="253" t="s">
        <v>12</v>
      </c>
    </row>
    <row r="171" spans="3:12" x14ac:dyDescent="0.25">
      <c r="C171" s="5"/>
      <c r="F171" s="326">
        <f>G132</f>
        <v>1</v>
      </c>
      <c r="G171" s="298">
        <f>H132</f>
        <v>2</v>
      </c>
      <c r="H171" s="327">
        <f>I132</f>
        <v>3</v>
      </c>
      <c r="I171" s="298">
        <f>J132</f>
        <v>4</v>
      </c>
      <c r="J171" s="328">
        <f>K132</f>
        <v>5</v>
      </c>
    </row>
    <row r="172" spans="3:12" x14ac:dyDescent="0.25">
      <c r="C172" s="5"/>
      <c r="F172" s="341">
        <f>G134/G151</f>
        <v>2.6366826172218465</v>
      </c>
      <c r="G172" s="341">
        <f>H134/H151</f>
        <v>1.9902933220456278</v>
      </c>
      <c r="H172" s="341">
        <f>I134/I151</f>
        <v>1.6088948625029922</v>
      </c>
      <c r="I172" s="341">
        <f>J134/J151</f>
        <v>6.2452351086679139</v>
      </c>
      <c r="J172" s="341">
        <f>K134/K151</f>
        <v>9.0239396906138172</v>
      </c>
    </row>
    <row r="173" spans="3:12" x14ac:dyDescent="0.25">
      <c r="C173" s="5"/>
      <c r="F173" s="115"/>
      <c r="G173" s="115"/>
      <c r="H173" s="115"/>
      <c r="I173" s="115"/>
      <c r="J173" s="115"/>
    </row>
    <row r="174" spans="3:12" x14ac:dyDescent="0.25">
      <c r="C174" s="5"/>
      <c r="F174" s="116"/>
      <c r="G174" s="116"/>
      <c r="H174" s="116"/>
      <c r="I174" s="116"/>
      <c r="J174" s="116"/>
    </row>
    <row r="175" spans="3:12" x14ac:dyDescent="0.25">
      <c r="C175" s="5"/>
      <c r="F175" s="116"/>
      <c r="G175" s="116"/>
      <c r="H175" s="116"/>
      <c r="I175" s="116"/>
      <c r="J175" s="116"/>
    </row>
    <row r="176" spans="3:12" x14ac:dyDescent="0.25">
      <c r="C176" s="5" t="s">
        <v>111</v>
      </c>
      <c r="F176" s="329" t="str">
        <f t="shared" ref="F176:J177" si="27">F170</f>
        <v>Año</v>
      </c>
      <c r="G176" s="330" t="str">
        <f t="shared" si="27"/>
        <v>Año</v>
      </c>
      <c r="H176" s="331" t="str">
        <f t="shared" si="27"/>
        <v>Año</v>
      </c>
      <c r="I176" s="330" t="str">
        <f t="shared" si="27"/>
        <v>Año</v>
      </c>
      <c r="J176" s="332" t="str">
        <f t="shared" si="27"/>
        <v>Año</v>
      </c>
    </row>
    <row r="177" spans="3:10" x14ac:dyDescent="0.25">
      <c r="C177" s="5"/>
      <c r="F177" s="333">
        <f t="shared" si="27"/>
        <v>1</v>
      </c>
      <c r="G177" s="334">
        <f t="shared" si="27"/>
        <v>2</v>
      </c>
      <c r="H177" s="335">
        <f t="shared" si="27"/>
        <v>3</v>
      </c>
      <c r="I177" s="334">
        <f t="shared" si="27"/>
        <v>4</v>
      </c>
      <c r="J177" s="336">
        <f t="shared" si="27"/>
        <v>5</v>
      </c>
    </row>
    <row r="178" spans="3:10" x14ac:dyDescent="0.25">
      <c r="C178" s="5"/>
      <c r="F178" s="342">
        <f>G134-G151</f>
        <v>242929896.78068185</v>
      </c>
      <c r="G178" s="342">
        <f>H134-H151</f>
        <v>218196096.50373402</v>
      </c>
      <c r="H178" s="342">
        <f>I134-I151</f>
        <v>161306213.5333496</v>
      </c>
      <c r="I178" s="342">
        <f>J134-J151</f>
        <v>323415693.64021093</v>
      </c>
      <c r="J178" s="342">
        <f>K134-K151</f>
        <v>482747791.18427926</v>
      </c>
    </row>
    <row r="179" spans="3:10" x14ac:dyDescent="0.25">
      <c r="C179" s="5"/>
      <c r="F179" s="117"/>
      <c r="G179" s="117"/>
      <c r="H179" s="117"/>
      <c r="I179" s="117"/>
      <c r="J179" s="117"/>
    </row>
    <row r="180" spans="3:10" x14ac:dyDescent="0.25">
      <c r="C180" s="5"/>
      <c r="F180" s="6"/>
      <c r="G180" s="6"/>
      <c r="H180" s="6"/>
      <c r="I180" s="6"/>
      <c r="J180" s="6"/>
    </row>
    <row r="181" spans="3:10" x14ac:dyDescent="0.25">
      <c r="C181" s="5"/>
      <c r="F181" s="6"/>
      <c r="G181" s="6"/>
      <c r="H181" s="6"/>
      <c r="I181" s="6"/>
      <c r="J181" s="6"/>
    </row>
    <row r="182" spans="3:10" x14ac:dyDescent="0.25">
      <c r="C182" s="5" t="s">
        <v>214</v>
      </c>
      <c r="F182" s="337" t="str">
        <f>F176</f>
        <v>Año</v>
      </c>
      <c r="G182" s="338" t="str">
        <f>G176</f>
        <v>Año</v>
      </c>
      <c r="H182" s="339" t="str">
        <f>H176</f>
        <v>Año</v>
      </c>
      <c r="I182" s="338" t="str">
        <f>I176</f>
        <v>Año</v>
      </c>
      <c r="J182" s="340" t="str">
        <f>J176</f>
        <v>Año</v>
      </c>
    </row>
    <row r="183" spans="3:10" x14ac:dyDescent="0.25">
      <c r="C183" s="5"/>
      <c r="F183" s="326">
        <f>F171</f>
        <v>1</v>
      </c>
      <c r="G183" s="298">
        <f>G171</f>
        <v>2</v>
      </c>
      <c r="H183" s="327">
        <f>H171</f>
        <v>3</v>
      </c>
      <c r="I183" s="298">
        <f>I171</f>
        <v>4</v>
      </c>
      <c r="J183" s="328">
        <f>J171</f>
        <v>5</v>
      </c>
    </row>
    <row r="184" spans="3:10" x14ac:dyDescent="0.25">
      <c r="C184" s="5"/>
      <c r="F184" s="343">
        <f>G153/G147</f>
        <v>0.81042577374636959</v>
      </c>
      <c r="G184" s="343">
        <f>H153/H147</f>
        <v>0.66190736725850463</v>
      </c>
      <c r="H184" s="343">
        <f>I153/I147</f>
        <v>0.45025273877098027</v>
      </c>
      <c r="I184" s="343">
        <f>J153/J147</f>
        <v>0.12341054731707883</v>
      </c>
      <c r="J184" s="343">
        <f>K153/K147</f>
        <v>9.8651028045366698E-2</v>
      </c>
    </row>
    <row r="185" spans="3:10" x14ac:dyDescent="0.25">
      <c r="C185" s="5"/>
      <c r="F185" s="118"/>
      <c r="G185" s="118"/>
      <c r="H185" s="118"/>
      <c r="I185" s="118"/>
      <c r="J185" s="118"/>
    </row>
    <row r="186" spans="3:10" x14ac:dyDescent="0.25">
      <c r="C186" s="5"/>
      <c r="F186" s="118"/>
      <c r="G186" s="118"/>
      <c r="H186" s="118"/>
      <c r="I186" s="118"/>
      <c r="J186" s="118"/>
    </row>
    <row r="187" spans="3:10" x14ac:dyDescent="0.25">
      <c r="C187" s="5"/>
    </row>
    <row r="188" spans="3:10" x14ac:dyDescent="0.25">
      <c r="C188" s="5" t="s">
        <v>215</v>
      </c>
      <c r="F188" s="337" t="str">
        <f t="shared" ref="F188:J189" si="28">F182</f>
        <v>Año</v>
      </c>
      <c r="G188" s="338" t="str">
        <f t="shared" si="28"/>
        <v>Año</v>
      </c>
      <c r="H188" s="339" t="str">
        <f t="shared" si="28"/>
        <v>Año</v>
      </c>
      <c r="I188" s="338" t="str">
        <f t="shared" si="28"/>
        <v>Año</v>
      </c>
      <c r="J188" s="340" t="str">
        <f t="shared" si="28"/>
        <v>Año</v>
      </c>
    </row>
    <row r="189" spans="3:10" x14ac:dyDescent="0.25">
      <c r="C189" s="5"/>
      <c r="F189" s="333">
        <f t="shared" si="28"/>
        <v>1</v>
      </c>
      <c r="G189" s="334">
        <f t="shared" si="28"/>
        <v>2</v>
      </c>
      <c r="H189" s="335">
        <f t="shared" si="28"/>
        <v>3</v>
      </c>
      <c r="I189" s="334">
        <f t="shared" si="28"/>
        <v>4</v>
      </c>
      <c r="J189" s="336">
        <f t="shared" si="28"/>
        <v>5</v>
      </c>
    </row>
    <row r="190" spans="3:10" x14ac:dyDescent="0.25">
      <c r="C190" s="5"/>
      <c r="F190" s="344">
        <f>F31/G147</f>
        <v>2.9162576121184243</v>
      </c>
      <c r="G190" s="344">
        <f>G31/H147</f>
        <v>3.3704972014466854</v>
      </c>
      <c r="H190" s="344">
        <f>H31/I147</f>
        <v>3.8993667182984559</v>
      </c>
      <c r="I190" s="344">
        <f>I31/J147</f>
        <v>4.8216085799170338</v>
      </c>
      <c r="J190" s="344">
        <f>J31/K147</f>
        <v>4.1475733800603365</v>
      </c>
    </row>
    <row r="191" spans="3:10" x14ac:dyDescent="0.25">
      <c r="C191" s="5"/>
      <c r="F191" s="119"/>
      <c r="G191" s="119"/>
      <c r="H191" s="119"/>
      <c r="I191" s="119"/>
      <c r="J191" s="119"/>
    </row>
    <row r="192" spans="3:10" x14ac:dyDescent="0.25">
      <c r="C192" s="5"/>
      <c r="F192" s="120"/>
      <c r="G192" s="120"/>
      <c r="H192" s="120"/>
      <c r="I192" s="120"/>
      <c r="J192" s="120"/>
    </row>
    <row r="193" spans="3:10" x14ac:dyDescent="0.25">
      <c r="C193" s="5"/>
    </row>
    <row r="194" spans="3:10" x14ac:dyDescent="0.25">
      <c r="C194" s="5" t="s">
        <v>216</v>
      </c>
      <c r="F194" s="337" t="str">
        <f t="shared" ref="F194:J195" si="29">F188</f>
        <v>Año</v>
      </c>
      <c r="G194" s="338" t="str">
        <f t="shared" si="29"/>
        <v>Año</v>
      </c>
      <c r="H194" s="339" t="str">
        <f t="shared" si="29"/>
        <v>Año</v>
      </c>
      <c r="I194" s="338" t="str">
        <f t="shared" si="29"/>
        <v>Año</v>
      </c>
      <c r="J194" s="340" t="str">
        <f t="shared" si="29"/>
        <v>Año</v>
      </c>
    </row>
    <row r="195" spans="3:10" x14ac:dyDescent="0.25">
      <c r="C195" s="5"/>
      <c r="F195" s="333">
        <f t="shared" si="29"/>
        <v>1</v>
      </c>
      <c r="G195" s="334">
        <f t="shared" si="29"/>
        <v>2</v>
      </c>
      <c r="H195" s="335">
        <f t="shared" si="29"/>
        <v>3</v>
      </c>
      <c r="I195" s="334">
        <f t="shared" si="29"/>
        <v>4</v>
      </c>
      <c r="J195" s="336">
        <f t="shared" si="29"/>
        <v>5</v>
      </c>
    </row>
    <row r="196" spans="3:10" x14ac:dyDescent="0.25">
      <c r="C196" s="5"/>
      <c r="F196" s="343">
        <f>F40/F31</f>
        <v>0.34561322781816273</v>
      </c>
      <c r="G196" s="343">
        <f>G40/G31</f>
        <v>0.3597923061089992</v>
      </c>
      <c r="H196" s="343">
        <f>H40/H31</f>
        <v>0.35437998728862657</v>
      </c>
      <c r="I196" s="343">
        <f>I40/I31</f>
        <v>0.34870993900061698</v>
      </c>
      <c r="J196" s="343">
        <f>J40/J31</f>
        <v>0.34276988841317874</v>
      </c>
    </row>
    <row r="197" spans="3:10" x14ac:dyDescent="0.25">
      <c r="C197" s="5"/>
      <c r="F197" s="121"/>
      <c r="G197" s="121"/>
      <c r="H197" s="121"/>
      <c r="I197" s="121"/>
      <c r="J197" s="121"/>
    </row>
    <row r="198" spans="3:10" x14ac:dyDescent="0.25">
      <c r="C198" s="5"/>
      <c r="F198" s="118"/>
      <c r="G198" s="118"/>
      <c r="H198" s="118"/>
      <c r="I198" s="118"/>
      <c r="J198" s="118"/>
    </row>
    <row r="199" spans="3:10" x14ac:dyDescent="0.25">
      <c r="C199" s="5"/>
    </row>
    <row r="200" spans="3:10" x14ac:dyDescent="0.25">
      <c r="C200" s="5" t="s">
        <v>254</v>
      </c>
      <c r="F200" s="338" t="str">
        <f t="shared" ref="F200:J201" si="30">F194</f>
        <v>Año</v>
      </c>
      <c r="G200" s="339" t="str">
        <f t="shared" si="30"/>
        <v>Año</v>
      </c>
      <c r="H200" s="338" t="str">
        <f t="shared" si="30"/>
        <v>Año</v>
      </c>
      <c r="I200" s="338" t="str">
        <f t="shared" si="30"/>
        <v>Año</v>
      </c>
      <c r="J200" s="340" t="str">
        <f t="shared" si="30"/>
        <v>Año</v>
      </c>
    </row>
    <row r="201" spans="3:10" x14ac:dyDescent="0.25">
      <c r="F201" s="334">
        <f t="shared" si="30"/>
        <v>1</v>
      </c>
      <c r="G201" s="335">
        <f t="shared" si="30"/>
        <v>2</v>
      </c>
      <c r="H201" s="334">
        <f t="shared" si="30"/>
        <v>3</v>
      </c>
      <c r="I201" s="334">
        <f t="shared" si="30"/>
        <v>4</v>
      </c>
      <c r="J201" s="336">
        <f t="shared" si="30"/>
        <v>5</v>
      </c>
    </row>
    <row r="202" spans="3:10" x14ac:dyDescent="0.25">
      <c r="F202" s="343">
        <f>F59/F31</f>
        <v>1.2146284157385645E-2</v>
      </c>
      <c r="G202" s="345">
        <f>G59/G31</f>
        <v>4.402717765328245E-2</v>
      </c>
      <c r="H202" s="343">
        <f>H59/H31</f>
        <v>4.5450944414329744E-2</v>
      </c>
      <c r="I202" s="343">
        <f>I59/I31</f>
        <v>4.7534139830560124E-2</v>
      </c>
      <c r="J202" s="343">
        <f>J59/J31</f>
        <v>4.4172588474273002E-2</v>
      </c>
    </row>
    <row r="203" spans="3:10" x14ac:dyDescent="0.25">
      <c r="F203" s="22"/>
      <c r="G203" s="22"/>
      <c r="H203" s="22"/>
      <c r="I203" s="22"/>
      <c r="J203" s="22"/>
    </row>
  </sheetData>
  <mergeCells count="19">
    <mergeCell ref="C152:E152"/>
    <mergeCell ref="C31:E31"/>
    <mergeCell ref="C68:E69"/>
    <mergeCell ref="C70:E70"/>
    <mergeCell ref="C71:E71"/>
    <mergeCell ref="C72:E72"/>
    <mergeCell ref="C92:E92"/>
    <mergeCell ref="C98:E98"/>
    <mergeCell ref="C135:E135"/>
    <mergeCell ref="C62:E62"/>
    <mergeCell ref="C30:E30"/>
    <mergeCell ref="D19:E19"/>
    <mergeCell ref="D8:E9"/>
    <mergeCell ref="D10:E10"/>
    <mergeCell ref="D18:E18"/>
    <mergeCell ref="C11:F11"/>
    <mergeCell ref="F21:H21"/>
    <mergeCell ref="D17:E17"/>
    <mergeCell ref="D21:E21"/>
  </mergeCells>
  <pageMargins left="0.7" right="0.7" top="0.75" bottom="0.75" header="0.3" footer="0.3"/>
  <pageSetup paperSize="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A2:Q134"/>
  <sheetViews>
    <sheetView showGridLines="0" topLeftCell="B82" zoomScaleNormal="100" workbookViewId="0">
      <selection activeCell="I12" sqref="I12"/>
    </sheetView>
  </sheetViews>
  <sheetFormatPr baseColWidth="10" defaultColWidth="11.44140625" defaultRowHeight="13.2" x14ac:dyDescent="0.25"/>
  <cols>
    <col min="1" max="1" width="7.5546875" style="4" customWidth="1"/>
    <col min="2" max="2" width="3.44140625" style="4" customWidth="1"/>
    <col min="3" max="3" width="32" style="4" customWidth="1"/>
    <col min="4" max="4" width="16.109375" style="4" customWidth="1"/>
    <col min="5" max="5" width="15.5546875" style="4" customWidth="1"/>
    <col min="6" max="6" width="20.109375" style="4" customWidth="1"/>
    <col min="7" max="7" width="17.5546875" style="4" customWidth="1"/>
    <col min="8" max="8" width="17.88671875" style="4" customWidth="1"/>
    <col min="9" max="9" width="18" style="4" customWidth="1"/>
    <col min="10" max="10" width="17.6640625" style="4" customWidth="1"/>
    <col min="11" max="11" width="16.33203125" style="4" customWidth="1"/>
    <col min="12" max="12" width="12.6640625" style="4" customWidth="1"/>
    <col min="13" max="13" width="15.33203125" style="4" customWidth="1"/>
    <col min="14" max="16" width="12.5546875" style="4" customWidth="1"/>
    <col min="17" max="16384" width="11.44140625" style="4"/>
  </cols>
  <sheetData>
    <row r="2" spans="1:17" x14ac:dyDescent="0.25">
      <c r="C2" s="4" t="s">
        <v>275</v>
      </c>
    </row>
    <row r="4" spans="1:17" x14ac:dyDescent="0.25">
      <c r="A4" s="5" t="s">
        <v>24</v>
      </c>
      <c r="B4" s="27">
        <v>35</v>
      </c>
      <c r="C4" s="5" t="s">
        <v>179</v>
      </c>
    </row>
    <row r="5" spans="1:17" x14ac:dyDescent="0.25">
      <c r="G5" s="122" t="s">
        <v>12</v>
      </c>
      <c r="H5" s="122" t="s">
        <v>12</v>
      </c>
      <c r="I5" s="122" t="s">
        <v>12</v>
      </c>
      <c r="J5" s="122" t="s">
        <v>12</v>
      </c>
      <c r="K5" s="122" t="s">
        <v>12</v>
      </c>
      <c r="L5" s="27"/>
      <c r="M5" s="27"/>
      <c r="N5" s="27"/>
      <c r="O5" s="27"/>
      <c r="P5" s="27"/>
    </row>
    <row r="6" spans="1:17" x14ac:dyDescent="0.25">
      <c r="G6" s="123">
        <f>PROYECCIONES!F29</f>
        <v>1</v>
      </c>
      <c r="H6" s="123">
        <f>PROYECCIONES!G29</f>
        <v>2</v>
      </c>
      <c r="I6" s="123">
        <f>PROYECCIONES!H29</f>
        <v>3</v>
      </c>
      <c r="J6" s="123">
        <f>PROYECCIONES!I29</f>
        <v>4</v>
      </c>
      <c r="K6" s="123">
        <f>PROYECCIONES!J29</f>
        <v>5</v>
      </c>
      <c r="L6" s="25"/>
      <c r="M6" s="25"/>
      <c r="N6" s="25"/>
      <c r="O6" s="25"/>
      <c r="P6" s="25"/>
    </row>
    <row r="7" spans="1:17" x14ac:dyDescent="0.25">
      <c r="C7" s="442" t="s">
        <v>134</v>
      </c>
      <c r="D7" s="442"/>
      <c r="E7" s="442"/>
      <c r="F7" s="172"/>
      <c r="G7" s="124">
        <f>PROYECCIONES!G70</f>
        <v>1891800000</v>
      </c>
      <c r="H7" s="124">
        <f>PROYECCIONES!H70</f>
        <v>2185029000.0000005</v>
      </c>
      <c r="I7" s="124">
        <f>PROYECCIONES!I70</f>
        <v>2294280450.0000005</v>
      </c>
      <c r="J7" s="124">
        <f>PROYECCIONES!J70</f>
        <v>2408994472.5000005</v>
      </c>
      <c r="K7" s="124">
        <f>PROYECCIONES!K70</f>
        <v>2529444196.125001</v>
      </c>
      <c r="L7" s="6"/>
      <c r="M7" s="6"/>
      <c r="N7" s="6"/>
      <c r="O7" s="6"/>
      <c r="P7" s="6"/>
      <c r="Q7" s="6"/>
    </row>
    <row r="8" spans="1:17" x14ac:dyDescent="0.25">
      <c r="C8" s="442" t="s">
        <v>135</v>
      </c>
      <c r="D8" s="442"/>
      <c r="E8" s="442"/>
      <c r="F8" s="172"/>
      <c r="G8" s="124"/>
      <c r="H8" s="124"/>
      <c r="I8" s="124"/>
      <c r="J8" s="124"/>
      <c r="K8" s="124"/>
      <c r="L8" s="6"/>
      <c r="M8" s="6"/>
      <c r="N8" s="6"/>
      <c r="O8" s="6"/>
      <c r="P8" s="6"/>
    </row>
    <row r="9" spans="1:17" x14ac:dyDescent="0.25">
      <c r="C9" s="443" t="s">
        <v>136</v>
      </c>
      <c r="D9" s="443"/>
      <c r="E9" s="443"/>
      <c r="F9" s="173"/>
      <c r="G9" s="125">
        <f>G7+G8</f>
        <v>1891800000</v>
      </c>
      <c r="H9" s="125">
        <f>H7+H8</f>
        <v>2185029000.0000005</v>
      </c>
      <c r="I9" s="125">
        <f>I7+I8</f>
        <v>2294280450.0000005</v>
      </c>
      <c r="J9" s="125">
        <f>J7+J8</f>
        <v>2408994472.5000005</v>
      </c>
      <c r="K9" s="125">
        <f>K7+K8</f>
        <v>2529444196.125001</v>
      </c>
      <c r="L9" s="28"/>
      <c r="M9" s="28"/>
      <c r="N9" s="28"/>
      <c r="O9" s="28"/>
      <c r="P9" s="28"/>
    </row>
    <row r="10" spans="1:17" hidden="1" x14ac:dyDescent="0.25">
      <c r="C10" s="22"/>
      <c r="D10" s="22"/>
      <c r="E10" s="22"/>
      <c r="F10" s="22"/>
      <c r="G10" s="22"/>
      <c r="H10" s="22"/>
      <c r="I10" s="22"/>
      <c r="J10" s="22"/>
      <c r="K10" s="22"/>
    </row>
    <row r="11" spans="1:17" x14ac:dyDescent="0.25">
      <c r="C11" s="58" t="s">
        <v>137</v>
      </c>
      <c r="D11" s="22"/>
      <c r="E11" s="22"/>
      <c r="F11" s="22"/>
      <c r="G11" s="22"/>
      <c r="H11" s="22"/>
      <c r="I11" s="22"/>
      <c r="J11" s="22"/>
      <c r="K11" s="22"/>
    </row>
    <row r="12" spans="1:17" x14ac:dyDescent="0.25">
      <c r="C12" s="88" t="s">
        <v>138</v>
      </c>
      <c r="D12" s="69" t="s">
        <v>24</v>
      </c>
      <c r="E12" s="70">
        <v>14</v>
      </c>
      <c r="F12" s="70"/>
      <c r="G12" s="124">
        <f>PROYECCIONES!G75</f>
        <v>813845999.99999988</v>
      </c>
      <c r="H12" s="124">
        <f>PROYECCIONES!H75</f>
        <v>932223600</v>
      </c>
      <c r="I12" s="124">
        <f>PROYECCIONES!I75</f>
        <v>978834780</v>
      </c>
      <c r="J12" s="124">
        <f>PROYECCIONES!J75</f>
        <v>1027776519</v>
      </c>
      <c r="K12" s="124">
        <f>PROYECCIONES!K75</f>
        <v>1079165344.95</v>
      </c>
      <c r="L12" s="6"/>
      <c r="M12" s="6"/>
      <c r="N12" s="6"/>
      <c r="O12" s="6"/>
      <c r="P12" s="6"/>
    </row>
    <row r="13" spans="1:17" x14ac:dyDescent="0.25">
      <c r="C13" s="88" t="s">
        <v>141</v>
      </c>
      <c r="D13" s="69" t="s">
        <v>24</v>
      </c>
      <c r="E13" s="70">
        <v>11</v>
      </c>
      <c r="F13" s="70"/>
      <c r="G13" s="124">
        <f>PROYECCIONES!G76</f>
        <v>225770495.61359996</v>
      </c>
      <c r="H13" s="124">
        <f>PROYECCIONES!H76</f>
        <v>248347545.17495996</v>
      </c>
      <c r="I13" s="124">
        <f>PROYECCIONES!I76</f>
        <v>273182299.69245595</v>
      </c>
      <c r="J13" s="124">
        <f>PROYECCIONES!J76</f>
        <v>300500529.66170156</v>
      </c>
      <c r="K13" s="124">
        <f>PROYECCIONES!K76</f>
        <v>330550582.62787175</v>
      </c>
      <c r="L13" s="6"/>
      <c r="M13" s="6"/>
      <c r="N13" s="6"/>
      <c r="O13" s="6"/>
      <c r="P13" s="6"/>
    </row>
    <row r="14" spans="1:17" x14ac:dyDescent="0.25">
      <c r="C14" s="68" t="s">
        <v>139</v>
      </c>
      <c r="D14" s="71" t="s">
        <v>24</v>
      </c>
      <c r="E14" s="70">
        <v>15</v>
      </c>
      <c r="F14" s="70"/>
      <c r="G14" s="124">
        <f>PROYECCIONES!G77</f>
        <v>152915600</v>
      </c>
      <c r="H14" s="124">
        <f>PROYECCIONES!H77</f>
        <v>168207160</v>
      </c>
      <c r="I14" s="124">
        <f>PROYECCIONES!I77</f>
        <v>176617518</v>
      </c>
      <c r="J14" s="124">
        <f>PROYECCIONES!J77</f>
        <v>185448393.90000001</v>
      </c>
      <c r="K14" s="124">
        <f>PROYECCIONES!K77</f>
        <v>194720813.59500003</v>
      </c>
      <c r="L14" s="6"/>
      <c r="M14" s="6"/>
      <c r="N14" s="6"/>
      <c r="O14" s="6"/>
      <c r="P14" s="6"/>
    </row>
    <row r="15" spans="1:17" x14ac:dyDescent="0.25">
      <c r="C15" s="93" t="s">
        <v>51</v>
      </c>
      <c r="D15" s="71" t="s">
        <v>24</v>
      </c>
      <c r="E15" s="70">
        <v>13</v>
      </c>
      <c r="F15" s="70"/>
      <c r="G15" s="124">
        <f>PROYECCIONES!G78</f>
        <v>-38376000</v>
      </c>
      <c r="H15" s="124">
        <f>PROYECCIONES!H78</f>
        <v>-38376000</v>
      </c>
      <c r="I15" s="124">
        <f>PROYECCIONES!I78</f>
        <v>-38376000</v>
      </c>
      <c r="J15" s="124">
        <f>PROYECCIONES!J78</f>
        <v>-38376000</v>
      </c>
      <c r="K15" s="124">
        <f>PROYECCIONES!K78</f>
        <v>-38376000</v>
      </c>
      <c r="L15" s="6"/>
      <c r="M15" s="6"/>
      <c r="N15" s="6"/>
      <c r="O15" s="6"/>
      <c r="P15" s="6"/>
    </row>
    <row r="16" spans="1:17" x14ac:dyDescent="0.25">
      <c r="C16" s="93" t="s">
        <v>140</v>
      </c>
      <c r="D16" s="73" t="s">
        <v>24</v>
      </c>
      <c r="E16" s="70">
        <v>15</v>
      </c>
      <c r="F16" s="70"/>
      <c r="G16" s="124">
        <f>PROYECCIONES!G79</f>
        <v>45436800</v>
      </c>
      <c r="H16" s="124">
        <f>PROYECCIONES!H79</f>
        <v>50094072</v>
      </c>
      <c r="I16" s="124">
        <f>PROYECCIONES!I79</f>
        <v>52598775.600000001</v>
      </c>
      <c r="J16" s="124">
        <f>PROYECCIONES!J79</f>
        <v>55228714.380000003</v>
      </c>
      <c r="K16" s="124">
        <f>PROYECCIONES!K79</f>
        <v>57990150.099000007</v>
      </c>
      <c r="L16" s="6"/>
      <c r="M16" s="6"/>
      <c r="N16" s="6"/>
      <c r="O16" s="6"/>
      <c r="P16" s="6"/>
    </row>
    <row r="17" spans="3:16" x14ac:dyDescent="0.25">
      <c r="C17" s="126" t="s">
        <v>148</v>
      </c>
      <c r="D17" s="127"/>
      <c r="E17" s="128"/>
      <c r="F17" s="128"/>
      <c r="G17" s="129">
        <f>SUM(G12:G16)</f>
        <v>1199592895.6135998</v>
      </c>
      <c r="H17" s="129">
        <f>SUM(H12:H16)</f>
        <v>1360496377.1749599</v>
      </c>
      <c r="I17" s="129">
        <f>SUM(I12:I16)</f>
        <v>1442857373.2924559</v>
      </c>
      <c r="J17" s="129">
        <f>SUM(J12:J16)</f>
        <v>1530578156.9417019</v>
      </c>
      <c r="K17" s="129">
        <f>SUM(K12:K16)</f>
        <v>1624050891.2718718</v>
      </c>
      <c r="L17" s="28"/>
      <c r="M17" s="28"/>
      <c r="N17" s="28"/>
      <c r="O17" s="28"/>
      <c r="P17" s="28"/>
    </row>
    <row r="18" spans="3:16" hidden="1" x14ac:dyDescent="0.25">
      <c r="C18" s="22"/>
      <c r="D18" s="22"/>
      <c r="E18" s="22"/>
      <c r="F18" s="22"/>
      <c r="G18" s="22"/>
      <c r="H18" s="22"/>
      <c r="I18" s="22"/>
      <c r="J18" s="22"/>
      <c r="K18" s="130"/>
    </row>
    <row r="19" spans="3:16" x14ac:dyDescent="0.25">
      <c r="C19" s="131" t="s">
        <v>142</v>
      </c>
      <c r="D19" s="132"/>
      <c r="E19" s="133"/>
      <c r="F19" s="134"/>
      <c r="G19" s="125">
        <f>G9-G17</f>
        <v>692207104.38640022</v>
      </c>
      <c r="H19" s="125">
        <f>H9-H17</f>
        <v>824532622.82504058</v>
      </c>
      <c r="I19" s="125">
        <f>I9-I17</f>
        <v>851423076.70754457</v>
      </c>
      <c r="J19" s="125">
        <f>J9-J17</f>
        <v>878416315.55829859</v>
      </c>
      <c r="K19" s="125">
        <f>K9-K17</f>
        <v>905393304.85312915</v>
      </c>
      <c r="L19" s="28"/>
      <c r="M19" s="28"/>
      <c r="N19" s="28"/>
      <c r="O19" s="28"/>
      <c r="P19" s="28"/>
    </row>
    <row r="20" spans="3:16" hidden="1" x14ac:dyDescent="0.25">
      <c r="C20" s="22"/>
      <c r="D20" s="22"/>
      <c r="E20" s="22"/>
      <c r="F20" s="22"/>
      <c r="G20" s="22"/>
      <c r="H20" s="22"/>
      <c r="I20" s="22"/>
      <c r="J20" s="22"/>
      <c r="K20" s="22"/>
    </row>
    <row r="21" spans="3:16" x14ac:dyDescent="0.25">
      <c r="C21" s="58" t="s">
        <v>144</v>
      </c>
      <c r="D21" s="22"/>
      <c r="E21" s="22"/>
      <c r="F21" s="22"/>
      <c r="G21" s="22"/>
      <c r="H21" s="22"/>
      <c r="I21" s="22"/>
      <c r="J21" s="22"/>
      <c r="K21" s="22"/>
    </row>
    <row r="22" spans="3:16" x14ac:dyDescent="0.25">
      <c r="C22" s="68" t="s">
        <v>143</v>
      </c>
      <c r="D22" s="69" t="s">
        <v>24</v>
      </c>
      <c r="E22" s="69">
        <v>20</v>
      </c>
      <c r="F22" s="65"/>
      <c r="G22" s="124">
        <f>PROYECCIONES!G85</f>
        <v>155307500</v>
      </c>
      <c r="H22" s="124">
        <f>PROYECCIONES!H85</f>
        <v>166885395</v>
      </c>
      <c r="I22" s="124">
        <f>PROYECCIONES!I85</f>
        <v>176933138.09999996</v>
      </c>
      <c r="J22" s="124">
        <f>PROYECCIONES!J85</f>
        <v>187852839.58199999</v>
      </c>
      <c r="K22" s="124">
        <f>PROYECCIONES!K85</f>
        <v>199729038.96564001</v>
      </c>
      <c r="L22" s="6"/>
      <c r="M22" s="6"/>
      <c r="N22" s="6"/>
      <c r="O22" s="6"/>
      <c r="P22" s="6"/>
    </row>
    <row r="23" spans="3:16" x14ac:dyDescent="0.25">
      <c r="C23" s="68" t="s">
        <v>145</v>
      </c>
      <c r="D23" s="69" t="s">
        <v>24</v>
      </c>
      <c r="E23" s="69">
        <v>8</v>
      </c>
      <c r="F23" s="65"/>
      <c r="G23" s="124">
        <f>PROYECCIONES!G86</f>
        <v>-4960000</v>
      </c>
      <c r="H23" s="124">
        <f>PROYECCIONES!H86</f>
        <v>-4960000</v>
      </c>
      <c r="I23" s="124">
        <f>PROYECCIONES!I86</f>
        <v>-4960000</v>
      </c>
      <c r="J23" s="124">
        <f>PROYECCIONES!J86</f>
        <v>-4960000</v>
      </c>
      <c r="K23" s="124">
        <f>PROYECCIONES!K86</f>
        <v>-4960000</v>
      </c>
      <c r="L23" s="6"/>
      <c r="M23" s="6"/>
      <c r="N23" s="6"/>
      <c r="O23" s="6"/>
      <c r="P23" s="6"/>
    </row>
    <row r="24" spans="3:16" x14ac:dyDescent="0.25">
      <c r="C24" s="68" t="s">
        <v>51</v>
      </c>
      <c r="D24" s="69" t="s">
        <v>24</v>
      </c>
      <c r="E24" s="69">
        <v>13</v>
      </c>
      <c r="F24" s="65"/>
      <c r="G24" s="124">
        <f>PROYECCIONES!G87</f>
        <v>-4263999.9999999991</v>
      </c>
      <c r="H24" s="124">
        <f>PROYECCIONES!H87</f>
        <v>-4263999.9999999991</v>
      </c>
      <c r="I24" s="124">
        <f>PROYECCIONES!I87</f>
        <v>-4263999.9999999991</v>
      </c>
      <c r="J24" s="124">
        <f>PROYECCIONES!J87</f>
        <v>-4263999.9999999991</v>
      </c>
      <c r="K24" s="124">
        <f>PROYECCIONES!K87</f>
        <v>-4263999.9999999991</v>
      </c>
      <c r="L24" s="6"/>
      <c r="M24" s="6"/>
      <c r="N24" s="6"/>
      <c r="O24" s="6"/>
      <c r="P24" s="6"/>
    </row>
    <row r="25" spans="3:16" x14ac:dyDescent="0.25">
      <c r="C25" s="68" t="s">
        <v>146</v>
      </c>
      <c r="D25" s="69" t="s">
        <v>24</v>
      </c>
      <c r="E25" s="69">
        <v>20</v>
      </c>
      <c r="F25" s="65"/>
      <c r="G25" s="124">
        <f>PROYECCIONES!G88</f>
        <v>331449323.42039996</v>
      </c>
      <c r="H25" s="124">
        <f>PROYECCIONES!H88</f>
        <v>364594255.76243997</v>
      </c>
      <c r="I25" s="124">
        <f>PROYECCIONES!I88</f>
        <v>401053681.33868402</v>
      </c>
      <c r="J25" s="124">
        <f>PROYECCIONES!J88</f>
        <v>441159049.47255248</v>
      </c>
      <c r="K25" s="124">
        <f>PROYECCIONES!K88</f>
        <v>485274954.41980779</v>
      </c>
      <c r="L25" s="6"/>
      <c r="M25" s="6"/>
      <c r="N25" s="6"/>
      <c r="O25" s="6"/>
      <c r="P25" s="6"/>
    </row>
    <row r="26" spans="3:16" x14ac:dyDescent="0.25">
      <c r="C26" s="68" t="s">
        <v>153</v>
      </c>
      <c r="D26" s="69" t="s">
        <v>24</v>
      </c>
      <c r="E26" s="69">
        <v>32</v>
      </c>
      <c r="F26" s="65"/>
      <c r="G26" s="124">
        <f>PROYECCIONES!G89</f>
        <v>0</v>
      </c>
      <c r="H26" s="124">
        <f>PROYECCIONES!H89</f>
        <v>12372952.506353473</v>
      </c>
      <c r="I26" s="124">
        <f>PROYECCIONES!I89</f>
        <v>51800355.363386065</v>
      </c>
      <c r="J26" s="124">
        <f>PROYECCIONES!J89</f>
        <v>56149268.648218013</v>
      </c>
      <c r="K26" s="124">
        <f>PROYECCIONES!K89</f>
        <v>61658950.826771535</v>
      </c>
      <c r="L26" s="6"/>
      <c r="M26" s="6"/>
      <c r="N26" s="6"/>
      <c r="O26" s="6"/>
      <c r="P26" s="6"/>
    </row>
    <row r="27" spans="3:16" x14ac:dyDescent="0.25">
      <c r="C27" s="131" t="s">
        <v>147</v>
      </c>
      <c r="D27" s="132"/>
      <c r="E27" s="133"/>
      <c r="F27" s="135"/>
      <c r="G27" s="125">
        <f>SUM(G22:G26)</f>
        <v>477532823.42039996</v>
      </c>
      <c r="H27" s="125">
        <f>SUM(H22:H26)</f>
        <v>534628603.26879346</v>
      </c>
      <c r="I27" s="125">
        <f>SUM(I22:I26)</f>
        <v>620563174.80207002</v>
      </c>
      <c r="J27" s="125">
        <f>SUM(J22:J26)</f>
        <v>675937157.70277047</v>
      </c>
      <c r="K27" s="125">
        <f>SUM(K22:K26)</f>
        <v>737438944.21221924</v>
      </c>
      <c r="L27" s="28"/>
      <c r="M27" s="28"/>
      <c r="N27" s="28"/>
      <c r="O27" s="28"/>
      <c r="P27" s="28"/>
    </row>
    <row r="28" spans="3:16" hidden="1" x14ac:dyDescent="0.25">
      <c r="C28" s="136"/>
      <c r="D28" s="136"/>
      <c r="E28" s="136"/>
      <c r="F28" s="136"/>
      <c r="G28" s="136"/>
      <c r="H28" s="136"/>
      <c r="I28" s="136"/>
      <c r="J28" s="136"/>
      <c r="K28" s="137"/>
    </row>
    <row r="29" spans="3:16" x14ac:dyDescent="0.25">
      <c r="C29" s="444" t="s">
        <v>149</v>
      </c>
      <c r="D29" s="445"/>
      <c r="E29" s="446"/>
      <c r="F29" s="133"/>
      <c r="G29" s="125">
        <f>G19-G27</f>
        <v>214674280.96600026</v>
      </c>
      <c r="H29" s="125">
        <f>H19-H27</f>
        <v>289904019.55624712</v>
      </c>
      <c r="I29" s="125">
        <f>I19-I27</f>
        <v>230859901.90547454</v>
      </c>
      <c r="J29" s="125">
        <f>J19-J27</f>
        <v>202479157.85552812</v>
      </c>
      <c r="K29" s="125">
        <f>K19-K27</f>
        <v>167954360.64090991</v>
      </c>
      <c r="L29" s="28"/>
      <c r="M29" s="28"/>
      <c r="N29" s="28"/>
      <c r="O29" s="28"/>
      <c r="P29" s="28"/>
    </row>
    <row r="30" spans="3:16" hidden="1" x14ac:dyDescent="0.25"/>
    <row r="31" spans="3:16" x14ac:dyDescent="0.25">
      <c r="C31" s="58" t="s">
        <v>150</v>
      </c>
      <c r="D31" s="22"/>
      <c r="E31" s="22"/>
      <c r="F31" s="22"/>
      <c r="G31" s="22"/>
      <c r="H31" s="22"/>
      <c r="I31" s="22"/>
      <c r="J31" s="22"/>
      <c r="K31" s="22"/>
    </row>
    <row r="32" spans="3:16" x14ac:dyDescent="0.25">
      <c r="C32" s="68" t="s">
        <v>27</v>
      </c>
      <c r="D32" s="69" t="s">
        <v>24</v>
      </c>
      <c r="E32" s="69">
        <v>7</v>
      </c>
      <c r="F32" s="124">
        <f>PROYECCIONES!F95</f>
        <v>280150000</v>
      </c>
      <c r="G32" s="16"/>
      <c r="H32" s="16"/>
      <c r="I32" s="16"/>
      <c r="J32" s="16"/>
      <c r="K32" s="16"/>
      <c r="L32" s="6"/>
      <c r="M32" s="6"/>
      <c r="N32" s="6"/>
      <c r="O32" s="6"/>
      <c r="P32" s="6"/>
    </row>
    <row r="33" spans="1:16" x14ac:dyDescent="0.25">
      <c r="C33" s="68" t="s">
        <v>115</v>
      </c>
      <c r="D33" s="69" t="s">
        <v>24</v>
      </c>
      <c r="E33" s="69">
        <v>8</v>
      </c>
      <c r="F33" s="124">
        <f>PROYECCIONES!F96</f>
        <v>24800000</v>
      </c>
      <c r="G33" s="16"/>
      <c r="H33" s="16"/>
      <c r="I33" s="16"/>
      <c r="J33" s="16"/>
      <c r="K33" s="16"/>
      <c r="L33" s="6"/>
      <c r="M33" s="6"/>
      <c r="N33" s="6"/>
      <c r="O33" s="6"/>
      <c r="P33" s="6"/>
    </row>
    <row r="34" spans="1:16" x14ac:dyDescent="0.25">
      <c r="C34" s="68" t="s">
        <v>151</v>
      </c>
      <c r="D34" s="69" t="s">
        <v>24</v>
      </c>
      <c r="E34" s="69">
        <v>22</v>
      </c>
      <c r="F34" s="124">
        <f>PROYECCIONES!F97</f>
        <v>418242155.29105681</v>
      </c>
      <c r="G34" s="16"/>
      <c r="H34" s="16"/>
      <c r="I34" s="16"/>
      <c r="J34" s="16"/>
      <c r="K34" s="16"/>
      <c r="L34" s="6"/>
      <c r="M34" s="6"/>
      <c r="N34" s="6"/>
      <c r="O34" s="6"/>
      <c r="P34" s="6"/>
    </row>
    <row r="35" spans="1:16" x14ac:dyDescent="0.25">
      <c r="C35" s="444" t="s">
        <v>152</v>
      </c>
      <c r="D35" s="445"/>
      <c r="E35" s="446"/>
      <c r="F35" s="138">
        <f t="shared" ref="F35:K35" si="0">SUM(F32:F34)</f>
        <v>723192155.29105687</v>
      </c>
      <c r="G35" s="138">
        <f t="shared" si="0"/>
        <v>0</v>
      </c>
      <c r="H35" s="138">
        <f t="shared" si="0"/>
        <v>0</v>
      </c>
      <c r="I35" s="138">
        <f t="shared" si="0"/>
        <v>0</v>
      </c>
      <c r="J35" s="138">
        <f t="shared" si="0"/>
        <v>0</v>
      </c>
      <c r="K35" s="138">
        <f t="shared" si="0"/>
        <v>0</v>
      </c>
      <c r="L35" s="6"/>
      <c r="M35" s="6"/>
      <c r="N35" s="6"/>
      <c r="O35" s="6"/>
      <c r="P35" s="6"/>
    </row>
    <row r="36" spans="1:16" hidden="1" x14ac:dyDescent="0.25">
      <c r="C36" s="136"/>
      <c r="D36" s="139"/>
      <c r="E36" s="140"/>
      <c r="F36" s="141"/>
      <c r="G36" s="136"/>
      <c r="H36" s="136"/>
      <c r="I36" s="136"/>
      <c r="J36" s="136"/>
      <c r="K36" s="137"/>
    </row>
    <row r="37" spans="1:16" x14ac:dyDescent="0.25">
      <c r="C37" s="131" t="s">
        <v>155</v>
      </c>
      <c r="D37" s="142"/>
      <c r="E37" s="143"/>
      <c r="F37" s="125">
        <f>F29-F35</f>
        <v>-723192155.29105687</v>
      </c>
      <c r="G37" s="125">
        <f>G29</f>
        <v>214674280.96600026</v>
      </c>
      <c r="H37" s="125">
        <f>H29</f>
        <v>289904019.55624712</v>
      </c>
      <c r="I37" s="125">
        <f>I29</f>
        <v>230859901.90547454</v>
      </c>
      <c r="J37" s="125">
        <f>J29</f>
        <v>202479157.85552812</v>
      </c>
      <c r="K37" s="125">
        <f>K29</f>
        <v>167954360.64090991</v>
      </c>
      <c r="L37" s="28"/>
      <c r="M37" s="28"/>
      <c r="N37" s="28"/>
      <c r="O37" s="28"/>
      <c r="P37" s="28"/>
    </row>
    <row r="41" spans="1:16" x14ac:dyDescent="0.25">
      <c r="A41" s="5" t="s">
        <v>39</v>
      </c>
      <c r="B41" s="5">
        <v>36</v>
      </c>
      <c r="C41" s="5" t="s">
        <v>328</v>
      </c>
      <c r="D41" s="5"/>
      <c r="E41" s="5"/>
      <c r="F41" s="5"/>
    </row>
    <row r="42" spans="1:16" x14ac:dyDescent="0.25">
      <c r="A42" s="5"/>
      <c r="B42" s="5"/>
      <c r="C42" s="5"/>
      <c r="D42" s="5"/>
      <c r="E42" s="5"/>
      <c r="F42" s="5"/>
    </row>
    <row r="44" spans="1:16" x14ac:dyDescent="0.25">
      <c r="C44" s="14" t="s">
        <v>325</v>
      </c>
      <c r="D44" s="211">
        <v>3.5000000000000003E-2</v>
      </c>
      <c r="E44" s="212"/>
    </row>
    <row r="45" spans="1:16" x14ac:dyDescent="0.25">
      <c r="C45" s="14" t="s">
        <v>326</v>
      </c>
      <c r="D45" s="144">
        <v>0.1</v>
      </c>
    </row>
    <row r="46" spans="1:16" x14ac:dyDescent="0.25">
      <c r="C46" s="145" t="s">
        <v>345</v>
      </c>
      <c r="D46" s="146">
        <f>((1+D44)*(1+D45))-1</f>
        <v>0.13850000000000007</v>
      </c>
    </row>
    <row r="48" spans="1:16" ht="13.5" customHeight="1" x14ac:dyDescent="0.25">
      <c r="C48" s="453" t="s">
        <v>346</v>
      </c>
      <c r="D48" s="453"/>
      <c r="E48" s="147">
        <f>D46</f>
        <v>0.13850000000000007</v>
      </c>
      <c r="F48" s="171" t="s">
        <v>189</v>
      </c>
    </row>
    <row r="52" spans="1:9" x14ac:dyDescent="0.25">
      <c r="A52" s="5" t="s">
        <v>24</v>
      </c>
      <c r="B52" s="5">
        <v>37</v>
      </c>
      <c r="C52" s="441" t="s">
        <v>192</v>
      </c>
      <c r="D52" s="441"/>
    </row>
    <row r="54" spans="1:9" x14ac:dyDescent="0.25">
      <c r="C54" s="5" t="s">
        <v>182</v>
      </c>
      <c r="D54" s="447" t="s">
        <v>69</v>
      </c>
      <c r="E54" s="447"/>
      <c r="F54" s="447" t="s">
        <v>181</v>
      </c>
      <c r="G54" s="447" t="s">
        <v>184</v>
      </c>
      <c r="H54" s="447" t="s">
        <v>187</v>
      </c>
      <c r="I54" s="447" t="s">
        <v>190</v>
      </c>
    </row>
    <row r="55" spans="1:9" x14ac:dyDescent="0.25">
      <c r="D55" s="448"/>
      <c r="E55" s="448"/>
      <c r="F55" s="447"/>
      <c r="G55" s="447"/>
      <c r="H55" s="447"/>
      <c r="I55" s="447"/>
    </row>
    <row r="56" spans="1:9" x14ac:dyDescent="0.25">
      <c r="D56" s="148" t="s">
        <v>12</v>
      </c>
      <c r="E56" s="149">
        <v>0</v>
      </c>
      <c r="F56" s="150">
        <f>F37</f>
        <v>-723192155.29105687</v>
      </c>
      <c r="G56" s="151">
        <f>E48</f>
        <v>0.13850000000000007</v>
      </c>
      <c r="H56" s="152">
        <f>1/((1+G56)^E56)</f>
        <v>1</v>
      </c>
      <c r="I56" s="124">
        <f>F56*H56</f>
        <v>-723192155.29105687</v>
      </c>
    </row>
    <row r="57" spans="1:9" x14ac:dyDescent="0.25">
      <c r="D57" s="153" t="s">
        <v>12</v>
      </c>
      <c r="E57" s="154">
        <v>1</v>
      </c>
      <c r="F57" s="150">
        <f>G37</f>
        <v>214674280.96600026</v>
      </c>
      <c r="G57" s="151">
        <f>G56</f>
        <v>0.13850000000000007</v>
      </c>
      <c r="H57" s="152">
        <f t="shared" ref="H57:H61" si="1">1/((1+G57)^E57)</f>
        <v>0.87834870443566093</v>
      </c>
      <c r="I57" s="124">
        <f t="shared" ref="I57:I61" si="2">F57*H57</f>
        <v>188558876.56214339</v>
      </c>
    </row>
    <row r="58" spans="1:9" x14ac:dyDescent="0.25">
      <c r="D58" s="155" t="s">
        <v>12</v>
      </c>
      <c r="E58" s="156">
        <v>2</v>
      </c>
      <c r="F58" s="150">
        <f>H37</f>
        <v>289904019.55624712</v>
      </c>
      <c r="G58" s="151">
        <f>G57</f>
        <v>0.13850000000000007</v>
      </c>
      <c r="H58" s="152">
        <f t="shared" si="1"/>
        <v>0.77149644658380401</v>
      </c>
      <c r="I58" s="124">
        <f t="shared" si="2"/>
        <v>223659920.93800628</v>
      </c>
    </row>
    <row r="59" spans="1:9" x14ac:dyDescent="0.25">
      <c r="D59" s="148" t="s">
        <v>12</v>
      </c>
      <c r="E59" s="149">
        <v>3</v>
      </c>
      <c r="F59" s="150">
        <f>I37</f>
        <v>230859901.90547454</v>
      </c>
      <c r="G59" s="151">
        <f>G58</f>
        <v>0.13850000000000007</v>
      </c>
      <c r="H59" s="152">
        <f t="shared" si="1"/>
        <v>0.6776429043336003</v>
      </c>
      <c r="I59" s="124">
        <f t="shared" si="2"/>
        <v>156440574.42139584</v>
      </c>
    </row>
    <row r="60" spans="1:9" x14ac:dyDescent="0.25">
      <c r="D60" s="155" t="s">
        <v>12</v>
      </c>
      <c r="E60" s="156">
        <v>4</v>
      </c>
      <c r="F60" s="150">
        <f>J37</f>
        <v>202479157.85552812</v>
      </c>
      <c r="G60" s="151">
        <f>G59</f>
        <v>0.13850000000000007</v>
      </c>
      <c r="H60" s="152">
        <f t="shared" si="1"/>
        <v>0.59520676709143627</v>
      </c>
      <c r="I60" s="124">
        <f t="shared" si="2"/>
        <v>120516964.95058548</v>
      </c>
    </row>
    <row r="61" spans="1:9" x14ac:dyDescent="0.25">
      <c r="D61" s="148" t="s">
        <v>12</v>
      </c>
      <c r="E61" s="149">
        <v>5</v>
      </c>
      <c r="F61" s="150">
        <f>K37</f>
        <v>167954360.64090991</v>
      </c>
      <c r="G61" s="151">
        <f>G60</f>
        <v>0.13850000000000007</v>
      </c>
      <c r="H61" s="152">
        <f t="shared" si="1"/>
        <v>0.52279909274610126</v>
      </c>
      <c r="I61" s="124">
        <f t="shared" si="2"/>
        <v>87806387.365819201</v>
      </c>
    </row>
    <row r="62" spans="1:9" x14ac:dyDescent="0.25">
      <c r="D62" s="454" t="s">
        <v>327</v>
      </c>
      <c r="E62" s="454"/>
      <c r="F62" s="453"/>
      <c r="G62" s="453"/>
      <c r="H62" s="453"/>
      <c r="I62" s="125">
        <f>SUM(I56:I61)</f>
        <v>53790568.946893319</v>
      </c>
    </row>
    <row r="65" spans="1:12" x14ac:dyDescent="0.25">
      <c r="C65" s="5" t="s">
        <v>183</v>
      </c>
    </row>
    <row r="66" spans="1:12" x14ac:dyDescent="0.25">
      <c r="D66" s="416" t="s">
        <v>180</v>
      </c>
      <c r="E66" s="416"/>
      <c r="F66" s="124">
        <f t="shared" ref="F66:F71" si="3">F56</f>
        <v>-723192155.29105687</v>
      </c>
    </row>
    <row r="67" spans="1:12" x14ac:dyDescent="0.25">
      <c r="D67" s="416" t="s">
        <v>13</v>
      </c>
      <c r="E67" s="416"/>
      <c r="F67" s="124">
        <f t="shared" si="3"/>
        <v>214674280.96600026</v>
      </c>
      <c r="K67" s="5"/>
      <c r="L67" s="5"/>
    </row>
    <row r="68" spans="1:12" x14ac:dyDescent="0.25">
      <c r="D68" s="416" t="s">
        <v>14</v>
      </c>
      <c r="E68" s="416"/>
      <c r="F68" s="124">
        <f t="shared" si="3"/>
        <v>289904019.55624712</v>
      </c>
      <c r="K68" s="5"/>
      <c r="L68" s="5"/>
    </row>
    <row r="69" spans="1:12" x14ac:dyDescent="0.25">
      <c r="D69" s="416" t="s">
        <v>9</v>
      </c>
      <c r="E69" s="416"/>
      <c r="F69" s="124">
        <f t="shared" si="3"/>
        <v>230859901.90547454</v>
      </c>
    </row>
    <row r="70" spans="1:12" x14ac:dyDescent="0.25">
      <c r="D70" s="416" t="s">
        <v>15</v>
      </c>
      <c r="E70" s="416"/>
      <c r="F70" s="124">
        <f t="shared" si="3"/>
        <v>202479157.85552812</v>
      </c>
    </row>
    <row r="71" spans="1:12" x14ac:dyDescent="0.25">
      <c r="D71" s="416" t="s">
        <v>16</v>
      </c>
      <c r="E71" s="416"/>
      <c r="F71" s="124">
        <f t="shared" si="3"/>
        <v>167954360.64090991</v>
      </c>
    </row>
    <row r="72" spans="1:12" x14ac:dyDescent="0.25">
      <c r="D72" s="449"/>
      <c r="E72" s="450"/>
      <c r="F72" s="14"/>
    </row>
    <row r="73" spans="1:12" x14ac:dyDescent="0.25">
      <c r="D73" s="453" t="s">
        <v>185</v>
      </c>
      <c r="E73" s="453"/>
      <c r="F73" s="147">
        <f>E48</f>
        <v>0.13850000000000007</v>
      </c>
    </row>
    <row r="74" spans="1:12" x14ac:dyDescent="0.25">
      <c r="D74" s="449"/>
      <c r="E74" s="450"/>
      <c r="F74" s="14"/>
    </row>
    <row r="75" spans="1:12" x14ac:dyDescent="0.25">
      <c r="D75" s="453" t="s">
        <v>186</v>
      </c>
      <c r="E75" s="453"/>
      <c r="F75" s="125">
        <f>NPV(F73,F67:F71)+F66</f>
        <v>53790568.946893334</v>
      </c>
    </row>
    <row r="79" spans="1:12" x14ac:dyDescent="0.25">
      <c r="A79" s="5" t="s">
        <v>24</v>
      </c>
      <c r="B79" s="5">
        <v>38</v>
      </c>
      <c r="C79" s="5" t="s">
        <v>191</v>
      </c>
    </row>
    <row r="80" spans="1:12" x14ac:dyDescent="0.25">
      <c r="A80" s="5"/>
      <c r="B80" s="5"/>
      <c r="C80" s="5"/>
    </row>
    <row r="81" spans="1:12" x14ac:dyDescent="0.25">
      <c r="D81" s="416" t="s">
        <v>180</v>
      </c>
      <c r="E81" s="416"/>
      <c r="F81" s="124">
        <f t="shared" ref="F81:F86" si="4">F66</f>
        <v>-723192155.29105687</v>
      </c>
    </row>
    <row r="82" spans="1:12" x14ac:dyDescent="0.25">
      <c r="D82" s="416" t="s">
        <v>13</v>
      </c>
      <c r="E82" s="416"/>
      <c r="F82" s="124">
        <f t="shared" si="4"/>
        <v>214674280.96600026</v>
      </c>
    </row>
    <row r="83" spans="1:12" x14ac:dyDescent="0.25">
      <c r="D83" s="416" t="s">
        <v>14</v>
      </c>
      <c r="E83" s="416"/>
      <c r="F83" s="124">
        <f t="shared" si="4"/>
        <v>289904019.55624712</v>
      </c>
    </row>
    <row r="84" spans="1:12" x14ac:dyDescent="0.25">
      <c r="D84" s="416" t="s">
        <v>9</v>
      </c>
      <c r="E84" s="416"/>
      <c r="F84" s="124">
        <f t="shared" si="4"/>
        <v>230859901.90547454</v>
      </c>
    </row>
    <row r="85" spans="1:12" x14ac:dyDescent="0.25">
      <c r="D85" s="416" t="s">
        <v>15</v>
      </c>
      <c r="E85" s="416"/>
      <c r="F85" s="124">
        <f t="shared" si="4"/>
        <v>202479157.85552812</v>
      </c>
      <c r="H85" s="5"/>
      <c r="I85" s="5"/>
    </row>
    <row r="86" spans="1:12" x14ac:dyDescent="0.25">
      <c r="D86" s="416" t="s">
        <v>16</v>
      </c>
      <c r="E86" s="416"/>
      <c r="F86" s="124">
        <f t="shared" si="4"/>
        <v>167954360.64090991</v>
      </c>
      <c r="H86" s="5"/>
      <c r="I86" s="5"/>
    </row>
    <row r="87" spans="1:12" hidden="1" x14ac:dyDescent="0.25">
      <c r="D87" s="449"/>
      <c r="E87" s="450"/>
      <c r="F87" s="14"/>
    </row>
    <row r="88" spans="1:12" x14ac:dyDescent="0.25">
      <c r="D88" s="453" t="s">
        <v>188</v>
      </c>
      <c r="E88" s="453"/>
      <c r="F88" s="147">
        <f>IRR(F81:F86)</f>
        <v>0.17054932907769627</v>
      </c>
      <c r="G88" s="5" t="s">
        <v>189</v>
      </c>
    </row>
    <row r="95" spans="1:12" ht="14.4" x14ac:dyDescent="0.3">
      <c r="C95"/>
      <c r="D95"/>
      <c r="E95"/>
      <c r="F95"/>
      <c r="G95"/>
      <c r="H95" s="293"/>
      <c r="I95"/>
      <c r="J95"/>
      <c r="K95"/>
      <c r="L95"/>
    </row>
    <row r="96" spans="1:12" x14ac:dyDescent="0.25">
      <c r="A96" s="5" t="s">
        <v>39</v>
      </c>
      <c r="B96" s="5">
        <v>39</v>
      </c>
      <c r="C96" s="157" t="s">
        <v>334</v>
      </c>
      <c r="D96"/>
      <c r="E96"/>
      <c r="F96"/>
      <c r="G96"/>
      <c r="H96"/>
      <c r="I96"/>
      <c r="J96"/>
      <c r="K96"/>
      <c r="L96"/>
    </row>
    <row r="97" spans="1:12" ht="12.75" customHeight="1" x14ac:dyDescent="0.25">
      <c r="C97"/>
      <c r="D97"/>
      <c r="E97"/>
      <c r="F97"/>
      <c r="G97"/>
      <c r="H97"/>
      <c r="I97"/>
      <c r="J97" s="451"/>
      <c r="K97" s="451"/>
      <c r="L97" s="451"/>
    </row>
    <row r="98" spans="1:12" ht="14.4" x14ac:dyDescent="0.3">
      <c r="C98" s="158" t="s">
        <v>329</v>
      </c>
      <c r="D98" s="159" t="s">
        <v>330</v>
      </c>
      <c r="E98" s="159" t="s">
        <v>335</v>
      </c>
      <c r="F98" s="159" t="s">
        <v>331</v>
      </c>
      <c r="G98" s="160" t="s">
        <v>332</v>
      </c>
      <c r="H98" s="159" t="s">
        <v>61</v>
      </c>
      <c r="I98"/>
      <c r="J98" s="451"/>
      <c r="K98" s="451"/>
      <c r="L98" s="451"/>
    </row>
    <row r="99" spans="1:12" ht="12.75" customHeight="1" x14ac:dyDescent="0.25">
      <c r="C99" s="161" t="s">
        <v>180</v>
      </c>
      <c r="D99" s="1">
        <f>F81</f>
        <v>-723192155.29105687</v>
      </c>
      <c r="E99" s="1"/>
      <c r="F99" s="1">
        <f>F81</f>
        <v>-723192155.29105687</v>
      </c>
      <c r="G99" s="347">
        <v>2</v>
      </c>
      <c r="H99" s="348">
        <f>F101/(-E102)</f>
        <v>0.94695463770196353</v>
      </c>
      <c r="I99"/>
      <c r="J99" s="451"/>
      <c r="K99" s="451"/>
      <c r="L99" s="451"/>
    </row>
    <row r="100" spans="1:12" ht="14.4" x14ac:dyDescent="0.3">
      <c r="C100" s="161" t="s">
        <v>13</v>
      </c>
      <c r="D100" s="1"/>
      <c r="E100" s="162">
        <f>F82</f>
        <v>214674280.96600026</v>
      </c>
      <c r="F100" s="1">
        <f>F99+E100</f>
        <v>-508517874.32505661</v>
      </c>
      <c r="G100" s="2">
        <f>G99</f>
        <v>2</v>
      </c>
      <c r="H100" s="3">
        <f>H99*12</f>
        <v>11.363455652423562</v>
      </c>
      <c r="I100"/>
      <c r="J100" s="451"/>
      <c r="K100" s="451"/>
      <c r="L100" s="451"/>
    </row>
    <row r="101" spans="1:12" ht="14.4" x14ac:dyDescent="0.25">
      <c r="C101" s="161" t="s">
        <v>14</v>
      </c>
      <c r="D101" s="1"/>
      <c r="E101" s="162">
        <f>F83</f>
        <v>289904019.55624712</v>
      </c>
      <c r="F101" s="1">
        <f>E101+F100</f>
        <v>-218613854.7688095</v>
      </c>
      <c r="G101"/>
      <c r="H101"/>
      <c r="I101"/>
      <c r="J101"/>
      <c r="K101"/>
      <c r="L101"/>
    </row>
    <row r="102" spans="1:12" ht="14.4" x14ac:dyDescent="0.25">
      <c r="C102" s="161" t="s">
        <v>333</v>
      </c>
      <c r="D102" s="1"/>
      <c r="E102" s="162">
        <f>F84</f>
        <v>230859901.90547454</v>
      </c>
      <c r="F102" s="1">
        <f>E102+F101</f>
        <v>12246047.136665046</v>
      </c>
      <c r="G102" s="163"/>
      <c r="H102"/>
      <c r="I102"/>
      <c r="J102"/>
      <c r="K102"/>
      <c r="L102"/>
    </row>
    <row r="103" spans="1:12" ht="14.4" x14ac:dyDescent="0.25">
      <c r="C103" s="161" t="s">
        <v>15</v>
      </c>
      <c r="D103" s="1"/>
      <c r="E103" s="162">
        <f>F85</f>
        <v>202479157.85552812</v>
      </c>
      <c r="F103" s="1">
        <f>E103+F102</f>
        <v>214725204.99219316</v>
      </c>
      <c r="G103"/>
      <c r="H103"/>
      <c r="I103"/>
      <c r="J103"/>
      <c r="K103"/>
      <c r="L103"/>
    </row>
    <row r="104" spans="1:12" ht="14.4" x14ac:dyDescent="0.25">
      <c r="C104" s="161" t="s">
        <v>16</v>
      </c>
      <c r="D104" s="1"/>
      <c r="E104" s="162">
        <f>F86</f>
        <v>167954360.64090991</v>
      </c>
      <c r="F104" s="1">
        <f>E104+F103</f>
        <v>382679565.63310307</v>
      </c>
      <c r="G104"/>
      <c r="H104" s="163"/>
      <c r="J104"/>
      <c r="K104"/>
      <c r="L104"/>
    </row>
    <row r="106" spans="1:12" x14ac:dyDescent="0.25">
      <c r="F106" s="82"/>
      <c r="G106" s="145" t="s">
        <v>332</v>
      </c>
      <c r="H106" s="145" t="s">
        <v>61</v>
      </c>
    </row>
    <row r="107" spans="1:12" x14ac:dyDescent="0.25">
      <c r="C107" s="164"/>
      <c r="F107" s="170" t="s">
        <v>336</v>
      </c>
      <c r="G107" s="170">
        <f>G100</f>
        <v>2</v>
      </c>
      <c r="H107" s="165">
        <f>H100</f>
        <v>11.363455652423562</v>
      </c>
    </row>
    <row r="112" spans="1:12" x14ac:dyDescent="0.25">
      <c r="A112" s="5" t="s">
        <v>39</v>
      </c>
      <c r="B112" s="5">
        <v>40</v>
      </c>
      <c r="C112" s="5" t="s">
        <v>343</v>
      </c>
    </row>
    <row r="114" spans="3:7" x14ac:dyDescent="0.25">
      <c r="C114" s="452" t="s">
        <v>337</v>
      </c>
      <c r="D114" s="452"/>
    </row>
    <row r="115" spans="3:7" x14ac:dyDescent="0.25">
      <c r="C115" s="14" t="s">
        <v>197</v>
      </c>
      <c r="D115" s="166">
        <f>'COSTOS RESUMEN'!F20</f>
        <v>865442919.03399992</v>
      </c>
    </row>
    <row r="116" spans="3:7" x14ac:dyDescent="0.25">
      <c r="C116" s="14" t="s">
        <v>340</v>
      </c>
      <c r="D116" s="166">
        <f>PROYECCIONES!D21</f>
        <v>50000</v>
      </c>
    </row>
    <row r="117" spans="3:7" x14ac:dyDescent="0.25">
      <c r="C117" s="14" t="s">
        <v>341</v>
      </c>
      <c r="D117" s="166">
        <f>'COSTOS RESUMEN'!G38</f>
        <v>20755.280685061847</v>
      </c>
    </row>
    <row r="118" spans="3:7" x14ac:dyDescent="0.25">
      <c r="C118" s="170" t="s">
        <v>342</v>
      </c>
      <c r="D118" s="213">
        <f>D115/(D116-D117)</f>
        <v>29593.134737044071</v>
      </c>
    </row>
    <row r="121" spans="3:7" x14ac:dyDescent="0.25">
      <c r="C121" s="5" t="s">
        <v>407</v>
      </c>
    </row>
    <row r="122" spans="3:7" x14ac:dyDescent="0.25">
      <c r="E122" s="435" t="s">
        <v>180</v>
      </c>
      <c r="F122" s="437"/>
      <c r="G122" s="124">
        <f>F81</f>
        <v>-723192155.29105687</v>
      </c>
    </row>
    <row r="123" spans="3:7" x14ac:dyDescent="0.25">
      <c r="E123" s="435" t="s">
        <v>13</v>
      </c>
      <c r="F123" s="437"/>
      <c r="G123" s="124">
        <f t="shared" ref="G123:G127" si="5">F82</f>
        <v>214674280.96600026</v>
      </c>
    </row>
    <row r="124" spans="3:7" x14ac:dyDescent="0.25">
      <c r="E124" s="435" t="s">
        <v>14</v>
      </c>
      <c r="F124" s="437"/>
      <c r="G124" s="124">
        <f t="shared" si="5"/>
        <v>289904019.55624712</v>
      </c>
    </row>
    <row r="125" spans="3:7" x14ac:dyDescent="0.25">
      <c r="E125" s="435" t="s">
        <v>9</v>
      </c>
      <c r="F125" s="437"/>
      <c r="G125" s="124">
        <f t="shared" si="5"/>
        <v>230859901.90547454</v>
      </c>
    </row>
    <row r="126" spans="3:7" x14ac:dyDescent="0.25">
      <c r="E126" s="435" t="s">
        <v>15</v>
      </c>
      <c r="F126" s="437"/>
      <c r="G126" s="124">
        <f t="shared" si="5"/>
        <v>202479157.85552812</v>
      </c>
    </row>
    <row r="127" spans="3:7" x14ac:dyDescent="0.25">
      <c r="E127" s="435" t="s">
        <v>16</v>
      </c>
      <c r="F127" s="437"/>
      <c r="G127" s="124">
        <f t="shared" si="5"/>
        <v>167954360.64090991</v>
      </c>
    </row>
    <row r="128" spans="3:7" x14ac:dyDescent="0.25">
      <c r="E128" s="439" t="s">
        <v>188</v>
      </c>
      <c r="F128" s="440"/>
      <c r="G128" s="147">
        <f>F88</f>
        <v>0.17054932907769627</v>
      </c>
    </row>
    <row r="131" spans="5:7" x14ac:dyDescent="0.25">
      <c r="E131" s="439" t="s">
        <v>401</v>
      </c>
      <c r="F131" s="440"/>
      <c r="G131" s="147">
        <v>0.15</v>
      </c>
    </row>
    <row r="132" spans="5:7" x14ac:dyDescent="0.25">
      <c r="E132" s="439" t="s">
        <v>402</v>
      </c>
      <c r="F132" s="440"/>
      <c r="G132" s="147">
        <v>0.2387</v>
      </c>
    </row>
    <row r="134" spans="5:7" x14ac:dyDescent="0.25">
      <c r="E134" s="439" t="s">
        <v>403</v>
      </c>
      <c r="F134" s="440"/>
      <c r="G134" s="147">
        <f>MIRR(G122:G127,G132,G131)</f>
        <v>0.16054040482635679</v>
      </c>
    </row>
  </sheetData>
  <mergeCells count="43">
    <mergeCell ref="J97:L100"/>
    <mergeCell ref="C114:D114"/>
    <mergeCell ref="C48:D48"/>
    <mergeCell ref="D85:E85"/>
    <mergeCell ref="D86:E86"/>
    <mergeCell ref="D87:E87"/>
    <mergeCell ref="D88:E88"/>
    <mergeCell ref="I54:I55"/>
    <mergeCell ref="D62:H62"/>
    <mergeCell ref="D81:E81"/>
    <mergeCell ref="D82:E82"/>
    <mergeCell ref="D83:E83"/>
    <mergeCell ref="D84:E84"/>
    <mergeCell ref="D71:E71"/>
    <mergeCell ref="D73:E73"/>
    <mergeCell ref="D75:E75"/>
    <mergeCell ref="H54:H55"/>
    <mergeCell ref="D54:E55"/>
    <mergeCell ref="D72:E72"/>
    <mergeCell ref="D74:E74"/>
    <mergeCell ref="D66:E66"/>
    <mergeCell ref="D67:E67"/>
    <mergeCell ref="D68:E68"/>
    <mergeCell ref="D69:E69"/>
    <mergeCell ref="D70:E70"/>
    <mergeCell ref="G54:G55"/>
    <mergeCell ref="F54:F55"/>
    <mergeCell ref="C52:D52"/>
    <mergeCell ref="C7:E7"/>
    <mergeCell ref="C8:E8"/>
    <mergeCell ref="C9:E9"/>
    <mergeCell ref="C29:E29"/>
    <mergeCell ref="C35:E35"/>
    <mergeCell ref="E122:F122"/>
    <mergeCell ref="E123:F123"/>
    <mergeCell ref="E124:F124"/>
    <mergeCell ref="E125:F125"/>
    <mergeCell ref="E126:F126"/>
    <mergeCell ref="E134:F134"/>
    <mergeCell ref="E127:F127"/>
    <mergeCell ref="E128:F128"/>
    <mergeCell ref="E131:F131"/>
    <mergeCell ref="E132:F13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INVERSIONES </vt:lpstr>
      <vt:lpstr>COSTOS Y GASTOS</vt:lpstr>
      <vt:lpstr>Hoja1</vt:lpstr>
      <vt:lpstr>CRÉDITO</vt:lpstr>
      <vt:lpstr>COSTOS RESUMEN</vt:lpstr>
      <vt:lpstr>PROYECCIONES</vt:lpstr>
      <vt:lpstr>EVALUACIÓN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Henry David Guevara Pérez</cp:lastModifiedBy>
  <dcterms:created xsi:type="dcterms:W3CDTF">2008-08-27T13:35:26Z</dcterms:created>
  <dcterms:modified xsi:type="dcterms:W3CDTF">2023-04-05T06:06:50Z</dcterms:modified>
</cp:coreProperties>
</file>